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Deals-Yolo\Woodland Phase 2\400 - Financing\440 - CDLAC\0. FINAL\Tab 40 - TCAC Excel Application\"/>
    </mc:Choice>
  </mc:AlternateContent>
  <xr:revisionPtr revIDLastSave="0" documentId="13_ncr:1_{1CC93E44-60A2-4E9D-8043-544FB2C5F5C4}" xr6:coauthVersionLast="47" xr6:coauthVersionMax="47" xr10:uidLastSave="{00000000-0000-0000-0000-000000000000}"/>
  <bookViews>
    <workbookView xWindow="-120" yWindow="-120" windowWidth="29040" windowHeight="15720" tabRatio="809"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4" l="1"/>
  <c r="A68" i="7"/>
  <c r="A67" i="7"/>
  <c r="A66" i="7"/>
  <c r="G589" i="3" l="1"/>
  <c r="G588" i="3"/>
  <c r="G587" i="3"/>
  <c r="G586" i="3"/>
  <c r="H582" i="3"/>
  <c r="G581" i="3"/>
  <c r="G580" i="3"/>
  <c r="G579" i="3"/>
  <c r="G578" i="3"/>
  <c r="Z572" i="3"/>
  <c r="Z571" i="3"/>
  <c r="Z570" i="3"/>
  <c r="Z569" i="3"/>
  <c r="AA573" i="3"/>
  <c r="G647" i="3"/>
  <c r="M495" i="3" l="1"/>
  <c r="AG442" i="3"/>
  <c r="AG443" i="3" s="1"/>
  <c r="AG448" i="3"/>
  <c r="T628" i="3" l="1"/>
  <c r="T629" i="3"/>
  <c r="E53" i="4"/>
  <c r="E51" i="4"/>
  <c r="E10" i="4"/>
  <c r="E85" i="4"/>
  <c r="E93" i="4"/>
  <c r="E94" i="4"/>
  <c r="E84" i="4" l="1"/>
  <c r="E92" i="4"/>
  <c r="E90" i="4"/>
  <c r="E91" i="4"/>
  <c r="E86" i="4"/>
  <c r="E89" i="4"/>
  <c r="E88" i="4"/>
  <c r="E65" i="4"/>
  <c r="E58" i="4"/>
  <c r="E37" i="4"/>
  <c r="E43" i="4" l="1"/>
  <c r="E40" i="4"/>
  <c r="E29" i="4" l="1"/>
  <c r="W846" i="3" l="1"/>
  <c r="W866" i="3" l="1"/>
  <c r="W869" i="3"/>
  <c r="W871" i="3"/>
  <c r="W844" i="3"/>
  <c r="W853" i="3"/>
  <c r="W854" i="3"/>
  <c r="K725" i="3" l="1"/>
  <c r="T725" i="3"/>
  <c r="T722" i="3"/>
  <c r="K722" i="3"/>
  <c r="T719" i="3"/>
  <c r="K719" i="3"/>
  <c r="H664" i="3"/>
  <c r="G663" i="3"/>
  <c r="G671" i="3" s="1"/>
  <c r="G662" i="3"/>
  <c r="G670" i="3" s="1"/>
  <c r="G661" i="3"/>
  <c r="G669" i="3" s="1"/>
  <c r="G660" i="3"/>
  <c r="G668" i="3" s="1"/>
  <c r="AA664" i="3"/>
  <c r="Z663" i="3"/>
  <c r="Z662" i="3"/>
  <c r="Z661" i="3"/>
  <c r="Z660" i="3"/>
  <c r="G655" i="3"/>
  <c r="G654" i="3"/>
  <c r="G653" i="3"/>
  <c r="G652" i="3"/>
  <c r="T627" i="3"/>
  <c r="K720" i="3" l="1"/>
  <c r="T720" i="3"/>
  <c r="K723" i="3"/>
  <c r="T723" i="3"/>
  <c r="T726" i="3"/>
  <c r="K726" i="3"/>
  <c r="G597" i="3"/>
  <c r="G596" i="3"/>
  <c r="G595" i="3"/>
  <c r="G594" i="3"/>
  <c r="W555" i="3"/>
  <c r="W556" i="3" s="1"/>
  <c r="T773" i="3" l="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5" i="21" l="1"/>
  <c r="T46" i="21"/>
  <c r="T53" i="21"/>
  <c r="O49" i="21"/>
  <c r="S46" i="21"/>
  <c r="U53" i="21"/>
  <c r="U46" i="21"/>
  <c r="U51" i="21"/>
  <c r="T51" i="21"/>
  <c r="U48" i="21"/>
  <c r="T45" i="21"/>
  <c r="R51" i="21" a="1"/>
  <c r="R51" i="21" s="1"/>
  <c r="U49" i="21"/>
  <c r="S48" i="21"/>
  <c r="S45" i="21"/>
  <c r="O51" i="21"/>
  <c r="T49" i="21"/>
  <c r="P48" i="21" a="1"/>
  <c r="P48" i="21" s="1"/>
  <c r="R49" i="21" a="1"/>
  <c r="R49" i="21" s="1"/>
  <c r="S52" i="21"/>
  <c r="P50" i="21" a="1"/>
  <c r="P50" i="21" s="1"/>
  <c r="S47" i="21"/>
  <c r="P52" i="21" a="1"/>
  <c r="P52" i="21" s="1"/>
  <c r="P51" i="21" a="1"/>
  <c r="P51" i="21" s="1"/>
  <c r="O50" i="21"/>
  <c r="P49" i="21" a="1"/>
  <c r="P49" i="21" s="1"/>
  <c r="R48" i="21" a="1"/>
  <c r="R48" i="21" s="1"/>
  <c r="R47" i="21" a="1"/>
  <c r="R47" i="21" s="1"/>
  <c r="R53" i="21" a="1"/>
  <c r="R53" i="21" s="1"/>
  <c r="U50"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A40" i="7"/>
  <c r="E33" i="7"/>
  <c r="E32" i="7"/>
  <c r="E31" i="7"/>
  <c r="E30"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5" i="11"/>
  <c r="D35" i="11" s="1"/>
  <c r="C36" i="11"/>
  <c r="C37" i="11"/>
  <c r="C38"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I96" i="13"/>
  <c r="J96" i="13"/>
  <c r="J81" i="13"/>
  <c r="I81" i="13"/>
  <c r="G81" i="13"/>
  <c r="C81" i="13"/>
  <c r="H80" i="13"/>
  <c r="S70" i="4"/>
  <c r="E70" i="13" s="1"/>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87" i="13"/>
  <c r="E65" i="13"/>
  <c r="F70" i="13" s="1"/>
  <c r="E53" i="13"/>
  <c r="E51" i="13"/>
  <c r="E50" i="13"/>
  <c r="E49" i="13"/>
  <c r="E48" i="13"/>
  <c r="E47" i="13"/>
  <c r="E41" i="13"/>
  <c r="E35" i="13"/>
  <c r="E34" i="13"/>
  <c r="E27" i="13"/>
  <c r="E25" i="13"/>
  <c r="E23" i="13"/>
  <c r="E22" i="13"/>
  <c r="E21" i="13"/>
  <c r="E20" i="13"/>
  <c r="E19" i="13"/>
  <c r="E18" i="13"/>
  <c r="E17" i="13"/>
  <c r="E15" i="13"/>
  <c r="E14" i="13"/>
  <c r="E13" i="13"/>
  <c r="B95" i="13"/>
  <c r="B94" i="13"/>
  <c r="B93" i="13"/>
  <c r="B92" i="13"/>
  <c r="B91" i="13"/>
  <c r="B90" i="13"/>
  <c r="B89" i="13"/>
  <c r="B88" i="13"/>
  <c r="B87" i="13"/>
  <c r="B86" i="13"/>
  <c r="B85" i="13"/>
  <c r="B84" i="13"/>
  <c r="B76" i="13"/>
  <c r="B74" i="13"/>
  <c r="B73" i="13"/>
  <c r="B72" i="13"/>
  <c r="B65" i="13"/>
  <c r="D70" i="13" s="1"/>
  <c r="B60" i="13"/>
  <c r="B59" i="13"/>
  <c r="B58" i="13"/>
  <c r="B57" i="13"/>
  <c r="B53" i="13"/>
  <c r="B51" i="13"/>
  <c r="B50" i="13"/>
  <c r="B49" i="13"/>
  <c r="B47" i="13"/>
  <c r="B43" i="13"/>
  <c r="C42" i="4"/>
  <c r="B42" i="13" s="1"/>
  <c r="B41" i="13"/>
  <c r="B40" i="13"/>
  <c r="D42" i="13" s="1"/>
  <c r="B37" i="13"/>
  <c r="B35" i="13"/>
  <c r="B34" i="13"/>
  <c r="B29" i="13"/>
  <c r="B27" i="13"/>
  <c r="B25" i="13"/>
  <c r="B23" i="13"/>
  <c r="B22" i="13"/>
  <c r="B21" i="13"/>
  <c r="B20" i="13"/>
  <c r="B17" i="13"/>
  <c r="B5" i="13"/>
  <c r="B6" i="13"/>
  <c r="B7" i="13"/>
  <c r="B9" i="13"/>
  <c r="B10" i="13"/>
  <c r="D11" i="13" s="1"/>
  <c r="B13" i="13"/>
  <c r="B14" i="13"/>
  <c r="B15" i="13"/>
  <c r="J104" i="13"/>
  <c r="I104" i="13"/>
  <c r="G104" i="13"/>
  <c r="C104" i="13"/>
  <c r="G96" i="13"/>
  <c r="C96" i="13"/>
  <c r="C77" i="13"/>
  <c r="J70" i="13"/>
  <c r="I70" i="13"/>
  <c r="G70" i="13"/>
  <c r="C70" i="13"/>
  <c r="C62" i="13"/>
  <c r="J54" i="13"/>
  <c r="I54" i="13"/>
  <c r="G54" i="13"/>
  <c r="C54" i="13"/>
  <c r="J42" i="13"/>
  <c r="I42" i="13"/>
  <c r="G42" i="13"/>
  <c r="F26" i="13"/>
  <c r="C42" i="13"/>
  <c r="J38" i="13"/>
  <c r="I38" i="13"/>
  <c r="G38" i="13"/>
  <c r="C38" i="13"/>
  <c r="J26" i="13"/>
  <c r="I26" i="13"/>
  <c r="I11" i="13"/>
  <c r="G26" i="13"/>
  <c r="D26" i="13"/>
  <c r="C26" i="13"/>
  <c r="J11" i="13"/>
  <c r="C11" i="13"/>
  <c r="C8" i="13"/>
  <c r="T104" i="4"/>
  <c r="H104" i="13" s="1"/>
  <c r="R103" i="4"/>
  <c r="R102" i="4"/>
  <c r="R101" i="4"/>
  <c r="R95" i="4"/>
  <c r="R94" i="4"/>
  <c r="S94" i="4" s="1"/>
  <c r="E94" i="13" s="1"/>
  <c r="R93" i="4"/>
  <c r="R92" i="4"/>
  <c r="S92" i="4" s="1"/>
  <c r="E92" i="13" s="1"/>
  <c r="R90" i="4"/>
  <c r="S90" i="4" s="1"/>
  <c r="E90" i="13" s="1"/>
  <c r="R89" i="4"/>
  <c r="S89" i="4" s="1"/>
  <c r="E89" i="13" s="1"/>
  <c r="R88" i="4"/>
  <c r="R87" i="4"/>
  <c r="R86" i="4"/>
  <c r="S86" i="4" s="1"/>
  <c r="E86" i="13" s="1"/>
  <c r="R85" i="4"/>
  <c r="S85" i="4" s="1"/>
  <c r="E85" i="13" s="1"/>
  <c r="R76" i="4"/>
  <c r="R72" i="4"/>
  <c r="R73" i="4"/>
  <c r="R74" i="4"/>
  <c r="R69" i="4"/>
  <c r="R65" i="4"/>
  <c r="R60" i="4"/>
  <c r="R59" i="4"/>
  <c r="R58" i="4"/>
  <c r="R57" i="4"/>
  <c r="R53" i="4"/>
  <c r="R51" i="4"/>
  <c r="R50" i="4"/>
  <c r="R49" i="4"/>
  <c r="R47" i="4"/>
  <c r="R43" i="4"/>
  <c r="S43" i="4" s="1"/>
  <c r="E43" i="13" s="1"/>
  <c r="R41" i="4"/>
  <c r="R40" i="4"/>
  <c r="S40" i="4" s="1"/>
  <c r="E40" i="13" s="1"/>
  <c r="F42" i="13" s="1"/>
  <c r="R37" i="4"/>
  <c r="S37" i="4" s="1"/>
  <c r="E37" i="13" s="1"/>
  <c r="R35" i="4"/>
  <c r="R34" i="4"/>
  <c r="R29" i="4"/>
  <c r="E29" i="13" s="1"/>
  <c r="R27" i="4"/>
  <c r="R25" i="4"/>
  <c r="R23" i="4"/>
  <c r="R22" i="4"/>
  <c r="R21" i="4"/>
  <c r="R20" i="4"/>
  <c r="R19" i="4"/>
  <c r="R18" i="4"/>
  <c r="R17" i="4"/>
  <c r="R15" i="4"/>
  <c r="R14" i="4"/>
  <c r="R13" i="4"/>
  <c r="R9" i="4"/>
  <c r="R7" i="4"/>
  <c r="R6" i="4"/>
  <c r="R5" i="4"/>
  <c r="B6" i="11"/>
  <c r="C6" i="11"/>
  <c r="B7" i="11"/>
  <c r="C7" i="11"/>
  <c r="C8" i="11"/>
  <c r="B8" i="11"/>
  <c r="B10" i="11"/>
  <c r="B11" i="11"/>
  <c r="C10" i="11"/>
  <c r="C11" i="11"/>
  <c r="B14" i="11"/>
  <c r="C14" i="11"/>
  <c r="B15" i="11"/>
  <c r="C15" i="11"/>
  <c r="B16" i="11"/>
  <c r="C16" i="11"/>
  <c r="B18" i="11"/>
  <c r="C18" i="11"/>
  <c r="B21" i="11"/>
  <c r="C21" i="11"/>
  <c r="B22" i="11"/>
  <c r="C22" i="11"/>
  <c r="B23" i="11"/>
  <c r="C23" i="11"/>
  <c r="B24" i="11"/>
  <c r="B28" i="11"/>
  <c r="C28" i="11"/>
  <c r="B30" i="11"/>
  <c r="C30" i="11"/>
  <c r="B41" i="11"/>
  <c r="C41" i="11"/>
  <c r="C42" i="11"/>
  <c r="B42" i="11"/>
  <c r="B44" i="11"/>
  <c r="C44" i="11"/>
  <c r="B48" i="11"/>
  <c r="B50" i="11"/>
  <c r="B51" i="11"/>
  <c r="B52" i="11"/>
  <c r="C48" i="11"/>
  <c r="C50" i="11"/>
  <c r="C51" i="11"/>
  <c r="C52" i="11"/>
  <c r="B58" i="11"/>
  <c r="C58" i="11"/>
  <c r="B59" i="11"/>
  <c r="C59" i="11"/>
  <c r="B60" i="11"/>
  <c r="C60" i="11"/>
  <c r="B61" i="11"/>
  <c r="C61" i="11"/>
  <c r="B66" i="11"/>
  <c r="C66" i="11"/>
  <c r="B73" i="11"/>
  <c r="C73" i="11"/>
  <c r="B74" i="11"/>
  <c r="C74" i="11"/>
  <c r="B75" i="11"/>
  <c r="C75" i="11"/>
  <c r="B77" i="11"/>
  <c r="C77"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F2" i="4"/>
  <c r="G2" i="4"/>
  <c r="H2" i="4"/>
  <c r="I2" i="4"/>
  <c r="J2" i="4"/>
  <c r="K2" i="4"/>
  <c r="L2" i="4"/>
  <c r="M2" i="4"/>
  <c r="N2" i="4"/>
  <c r="O2" i="4"/>
  <c r="P2" i="4"/>
  <c r="Q2" i="4"/>
  <c r="B5" i="4"/>
  <c r="B6" i="4"/>
  <c r="B7" i="4"/>
  <c r="E8" i="4"/>
  <c r="F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42" i="4"/>
  <c r="F54" i="4"/>
  <c r="F62" i="4"/>
  <c r="N11" i="4"/>
  <c r="O11" i="4"/>
  <c r="B13" i="4"/>
  <c r="B14" i="4"/>
  <c r="B15" i="4"/>
  <c r="AD210" i="20" s="1"/>
  <c r="B17"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4" i="4"/>
  <c r="B35" i="4"/>
  <c r="B37" i="4"/>
  <c r="G38" i="4"/>
  <c r="H38" i="4"/>
  <c r="K38" i="4"/>
  <c r="O38" i="4"/>
  <c r="P38" i="4"/>
  <c r="P42" i="4"/>
  <c r="P54" i="4"/>
  <c r="P62" i="4"/>
  <c r="P70" i="4"/>
  <c r="P77" i="4"/>
  <c r="P96" i="4"/>
  <c r="P104" i="4"/>
  <c r="Q38" i="4"/>
  <c r="B40" i="4"/>
  <c r="B41" i="4"/>
  <c r="E42" i="4"/>
  <c r="G42" i="4"/>
  <c r="H42" i="4"/>
  <c r="K42" i="4"/>
  <c r="L42" i="4"/>
  <c r="O42" i="4"/>
  <c r="Q42" i="4"/>
  <c r="B43" i="4"/>
  <c r="B47" i="4"/>
  <c r="B49" i="4"/>
  <c r="B50" i="4"/>
  <c r="B51" i="4"/>
  <c r="B53" i="4"/>
  <c r="G54" i="4"/>
  <c r="H54" i="4"/>
  <c r="L54" i="4"/>
  <c r="O54" i="4"/>
  <c r="Q54" i="4"/>
  <c r="B57" i="4"/>
  <c r="B58" i="4"/>
  <c r="B60"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84" i="4"/>
  <c r="B85" i="4"/>
  <c r="B86" i="4"/>
  <c r="B87" i="4"/>
  <c r="B88" i="4"/>
  <c r="B89" i="4"/>
  <c r="B90" i="4"/>
  <c r="B91" i="4"/>
  <c r="B92" i="4"/>
  <c r="B93" i="4"/>
  <c r="B94" i="4"/>
  <c r="B95" i="4"/>
  <c r="F96" i="4"/>
  <c r="G96" i="4"/>
  <c r="H96" i="4"/>
  <c r="I96" i="4"/>
  <c r="K96" i="4"/>
  <c r="L96" i="4"/>
  <c r="Q96" i="4"/>
  <c r="B101" i="4"/>
  <c r="B102" i="4"/>
  <c r="B103" i="4"/>
  <c r="F104" i="4"/>
  <c r="G104" i="4"/>
  <c r="H104" i="4"/>
  <c r="I104" i="4"/>
  <c r="K104" i="4"/>
  <c r="L104" i="4"/>
  <c r="Q104" i="4"/>
  <c r="H108" i="4"/>
  <c r="I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93" i="4" l="1"/>
  <c r="E93" i="13" s="1"/>
  <c r="F96" i="13"/>
  <c r="S42" i="4"/>
  <c r="E42" i="13" s="1"/>
  <c r="D94" i="11"/>
  <c r="D36" i="11"/>
  <c r="D86" i="11"/>
  <c r="D87" i="11"/>
  <c r="D103" i="11"/>
  <c r="D6" i="11"/>
  <c r="D25" i="11"/>
  <c r="D91" i="11"/>
  <c r="D54" i="11"/>
  <c r="D90" i="11"/>
  <c r="D70" i="11"/>
  <c r="D93" i="11"/>
  <c r="D85" i="11"/>
  <c r="D89" i="11"/>
  <c r="D101" i="11"/>
  <c r="D92" i="11"/>
  <c r="D96" i="11"/>
  <c r="D88" i="11"/>
  <c r="D104" i="11"/>
  <c r="D95" i="11"/>
  <c r="D75" i="11"/>
  <c r="D58" i="11"/>
  <c r="L12" i="4"/>
  <c r="D38" i="11"/>
  <c r="B42" i="4"/>
  <c r="H12" i="4"/>
  <c r="D51" i="11"/>
  <c r="D48" i="11"/>
  <c r="D15" i="11"/>
  <c r="D8" i="11"/>
  <c r="D41" i="11"/>
  <c r="D74" i="11"/>
  <c r="C12" i="13"/>
  <c r="D77" i="11"/>
  <c r="D73" i="11"/>
  <c r="D50" i="11"/>
  <c r="D21" i="11"/>
  <c r="D16" i="11"/>
  <c r="B12" i="11"/>
  <c r="D66" i="11"/>
  <c r="D59" i="11"/>
  <c r="D42" i="11"/>
  <c r="D28" i="11"/>
  <c r="N63" i="4"/>
  <c r="N97" i="4" s="1"/>
  <c r="N105" i="4" s="1"/>
  <c r="E12" i="4"/>
  <c r="D12" i="4"/>
  <c r="C43" i="11"/>
  <c r="F12" i="4"/>
  <c r="D11" i="11"/>
  <c r="D24" i="11"/>
  <c r="B71" i="11"/>
  <c r="O12" i="4"/>
  <c r="D10" i="11"/>
  <c r="B43" i="11"/>
  <c r="Q12" i="4"/>
  <c r="K12" i="4"/>
  <c r="D61" i="11"/>
  <c r="J12" i="4"/>
  <c r="D30" i="11"/>
  <c r="D22" i="11"/>
  <c r="O63" i="4"/>
  <c r="O97" i="4" s="1"/>
  <c r="O105" i="4" s="1"/>
  <c r="M63" i="4"/>
  <c r="M97" i="4" s="1"/>
  <c r="M105" i="4" s="1"/>
  <c r="N12" i="4"/>
  <c r="I12" i="4"/>
  <c r="B70" i="4"/>
  <c r="D102" i="11"/>
  <c r="P63" i="4"/>
  <c r="P97" i="4" s="1"/>
  <c r="P105" i="4" s="1"/>
  <c r="I63" i="13"/>
  <c r="I97" i="13" s="1"/>
  <c r="I105" i="13" s="1"/>
  <c r="I107" i="13" s="1"/>
  <c r="C63" i="13"/>
  <c r="C97" i="13" s="1"/>
  <c r="C105" i="13" s="1"/>
  <c r="C71" i="11"/>
  <c r="R70" i="4"/>
  <c r="R11" i="4"/>
  <c r="G58" i="7"/>
  <c r="I63" i="4"/>
  <c r="I97" i="4" s="1"/>
  <c r="I105" i="4" s="1"/>
  <c r="D52" i="11"/>
  <c r="D44" i="11"/>
  <c r="D18" i="11"/>
  <c r="C12" i="11"/>
  <c r="J63" i="4"/>
  <c r="J97" i="4" s="1"/>
  <c r="Q63" i="4"/>
  <c r="Q97" i="4" s="1"/>
  <c r="Q105" i="4" s="1"/>
  <c r="B11" i="4"/>
  <c r="J63" i="13"/>
  <c r="J97" i="13" s="1"/>
  <c r="J105" i="13" s="1"/>
  <c r="J107" i="13" s="1"/>
  <c r="D60" i="11"/>
  <c r="M12" i="4"/>
  <c r="D63" i="4"/>
  <c r="D97" i="4" s="1"/>
  <c r="D105" i="4" s="1"/>
  <c r="BE68" i="3" s="1"/>
  <c r="R26" i="4"/>
  <c r="R42" i="4"/>
  <c r="D23" i="11"/>
  <c r="D14" i="11"/>
  <c r="D7" i="11"/>
  <c r="G63" i="13"/>
  <c r="G97" i="13" s="1"/>
  <c r="G105" i="13" s="1"/>
  <c r="G107" i="13" s="1"/>
  <c r="M53" i="7"/>
  <c r="K58" i="7"/>
  <c r="N188" i="23"/>
  <c r="H63" i="4"/>
  <c r="H97" i="4" s="1"/>
  <c r="H105" i="4" s="1"/>
  <c r="I58" i="7"/>
  <c r="T63" i="4"/>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AY1003" i="3"/>
  <c r="I1048" i="3" s="1"/>
  <c r="C798" i="3"/>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O71" i="20"/>
  <c r="AP375" i="20"/>
  <c r="AQ375" i="20" s="1"/>
  <c r="AK535" i="20"/>
  <c r="T813" i="20" s="1"/>
  <c r="AF813" i="20" s="1"/>
  <c r="BF753" i="3"/>
  <c r="CU753" i="3"/>
  <c r="EC648" i="3" s="1"/>
  <c r="FE718" i="3"/>
  <c r="FE753" i="3" s="1"/>
  <c r="Y7" i="15"/>
  <c r="AI7" i="15"/>
  <c r="EZ718" i="3"/>
  <c r="CP753" i="3"/>
  <c r="DX669" i="3" s="1"/>
  <c r="DU753" i="3"/>
  <c r="AC28" i="7"/>
  <c r="AG28" i="7"/>
  <c r="Y28" i="7"/>
  <c r="U28" i="7"/>
  <c r="S28" i="7"/>
  <c r="Q28" i="7"/>
  <c r="W28" i="7"/>
  <c r="I28" i="7"/>
  <c r="O28" i="7"/>
  <c r="AA28" i="7"/>
  <c r="G28" i="7"/>
  <c r="M28" i="7"/>
  <c r="K28" i="7"/>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a="1"/>
  <c r="R28" i="21" s="1"/>
  <c r="AG445" i="3"/>
  <c r="AD27" i="15" s="1"/>
  <c r="ET753" i="3"/>
  <c r="T24" i="21"/>
  <c r="D26" i="11"/>
  <c r="T30" i="21"/>
  <c r="T7" i="15"/>
  <c r="P36" i="21" a="1"/>
  <c r="P36" i="21" s="1"/>
  <c r="T28" i="21"/>
  <c r="P40" i="21" a="1"/>
  <c r="P40" i="21" s="1"/>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R33" i="21" a="1"/>
  <c r="R33" i="21" s="1"/>
  <c r="R24" i="21" a="1"/>
  <c r="R24" i="21" s="1"/>
  <c r="E27" i="21"/>
  <c r="G60" i="21"/>
  <c r="E26" i="21"/>
  <c r="E24" i="21"/>
  <c r="F24" i="21" s="1"/>
  <c r="G40" i="8"/>
  <c r="I15" i="7"/>
  <c r="E28" i="21"/>
  <c r="E25" i="21"/>
  <c r="F25" i="21" s="1"/>
  <c r="G25" i="21" s="1"/>
  <c r="S96" i="4" l="1"/>
  <c r="E96" i="13" s="1"/>
  <c r="D43" i="11"/>
  <c r="D71" i="11"/>
  <c r="D12" i="11"/>
  <c r="T97" i="4"/>
  <c r="H63" i="13"/>
  <c r="AO39" i="20"/>
  <c r="AK62" i="20" s="1"/>
  <c r="T804" i="20" s="1"/>
  <c r="AF804" i="20" s="1"/>
  <c r="BE71" i="3" s="1"/>
  <c r="O53" i="7"/>
  <c r="M58" i="7"/>
  <c r="BA1039" i="3"/>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EC652" i="3"/>
  <c r="I1052" i="3"/>
  <c r="AY1006" i="3" s="1"/>
  <c r="T815" i="20"/>
  <c r="AF815" i="20" s="1"/>
  <c r="BE79" i="3" s="1"/>
  <c r="Y27" i="15"/>
  <c r="AI27" i="15"/>
  <c r="T27" i="15"/>
  <c r="Y800" i="3"/>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E29" i="21"/>
  <c r="G24" i="21"/>
  <c r="O26" i="21" l="1"/>
  <c r="O27" i="21"/>
  <c r="P27" i="21" s="1" a="1"/>
  <c r="P27" i="21" s="1"/>
  <c r="S27" i="21" s="1"/>
  <c r="O22" i="21"/>
  <c r="O21" i="21"/>
  <c r="P21" i="21" s="1" a="1"/>
  <c r="P21" i="21" s="1"/>
  <c r="S21" i="21" s="1"/>
  <c r="O28" i="21"/>
  <c r="P28" i="21" s="1" a="1"/>
  <c r="P28" i="21" s="1"/>
  <c r="S28" i="21" s="1"/>
  <c r="O24" i="21"/>
  <c r="P24" i="21" s="1" a="1"/>
  <c r="P24" i="21" s="1"/>
  <c r="S24" i="21" s="1"/>
  <c r="O25" i="21"/>
  <c r="P25" i="21" s="1" a="1"/>
  <c r="P25" i="21" s="1"/>
  <c r="S25" i="21" s="1"/>
  <c r="O20" i="21"/>
  <c r="P20" i="21" s="1" a="1"/>
  <c r="P20" i="21" s="1"/>
  <c r="S20" i="21" s="1"/>
  <c r="AK84" i="20"/>
  <c r="AK191" i="20" s="1"/>
  <c r="T811" i="20" s="1"/>
  <c r="AF811" i="20" s="1"/>
  <c r="BE76" i="3" s="1"/>
  <c r="O58" i="7"/>
  <c r="Q53" i="7"/>
  <c r="T105" i="4"/>
  <c r="H97" i="13"/>
  <c r="P29" i="21" a="1"/>
  <c r="P29" i="21" s="1"/>
  <c r="S29" i="21" s="1"/>
  <c r="P31" i="21" a="1"/>
  <c r="P31" i="21" s="1"/>
  <c r="S31" i="21" s="1"/>
  <c r="P30" i="21" a="1"/>
  <c r="P30" i="21" s="1"/>
  <c r="S30" i="21" s="1"/>
  <c r="P26" i="21" a="1"/>
  <c r="P26" i="21" s="1"/>
  <c r="S26" i="21" s="1"/>
  <c r="P23" i="21" a="1"/>
  <c r="P23" i="21" s="1"/>
  <c r="S23" i="21" s="1"/>
  <c r="P22" i="21" a="1"/>
  <c r="P22" i="21" s="1"/>
  <c r="S22" i="21" s="1"/>
  <c r="DU755" i="3"/>
  <c r="O756" i="3" s="1"/>
  <c r="BG753" i="3"/>
  <c r="BU753" i="3"/>
  <c r="AH753" i="3" s="1"/>
  <c r="BE43" i="3" s="1"/>
  <c r="Y23" i="15"/>
  <c r="AI23" i="15"/>
  <c r="AI26" i="15" s="1"/>
  <c r="AI28" i="15" s="1"/>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F27" i="21"/>
  <c r="G61" i="21"/>
  <c r="G63" i="21" s="1"/>
  <c r="G65" i="21" s="1"/>
  <c r="E13" i="21" s="1"/>
  <c r="F28" i="21"/>
  <c r="G28" i="21" s="1"/>
  <c r="G52" i="21"/>
  <c r="G54" i="21" s="1"/>
  <c r="G56" i="21" s="1"/>
  <c r="E12" i="21" s="1"/>
  <c r="T805" i="20" l="1"/>
  <c r="AF805" i="20" s="1"/>
  <c r="BE72" i="3" s="1"/>
  <c r="H105" i="13"/>
  <c r="T107" i="4"/>
  <c r="H107" i="13" s="1"/>
  <c r="AD11" i="15" s="1"/>
  <c r="AD23" i="15" s="1"/>
  <c r="AD26" i="15" s="1"/>
  <c r="AD28" i="15" s="1"/>
  <c r="Q58" i="7"/>
  <c r="S53" i="7"/>
  <c r="G45" i="21"/>
  <c r="G47" i="21" s="1"/>
  <c r="E10" i="21" s="1"/>
  <c r="E11" i="21"/>
  <c r="Y26" i="15"/>
  <c r="Y28" i="15" s="1"/>
  <c r="AP705" i="20"/>
  <c r="AP706" i="20"/>
  <c r="I4" i="7"/>
  <c r="I5" i="7" s="1"/>
  <c r="K9" i="7"/>
  <c r="E11" i="7"/>
  <c r="AJ992" i="3"/>
  <c r="AJ1016" i="3" s="1"/>
  <c r="E138" i="20"/>
  <c r="E139" i="20" s="1"/>
  <c r="AK143" i="20" s="1"/>
  <c r="T807" i="20" s="1"/>
  <c r="AF807" i="20" s="1"/>
  <c r="BE74" i="3" s="1"/>
  <c r="AB991" i="3"/>
  <c r="DU802" i="3"/>
  <c r="U373" i="20" s="1"/>
  <c r="P421" i="3"/>
  <c r="I6" i="7"/>
  <c r="G7" i="7"/>
  <c r="G11" i="7" s="1"/>
  <c r="O15" i="7"/>
  <c r="M9" i="7"/>
  <c r="O8" i="7"/>
  <c r="G27" i="21"/>
  <c r="F26" i="21"/>
  <c r="AJ1029" i="3" l="1"/>
  <c r="AJ1041" i="3"/>
  <c r="S58" i="7"/>
  <c r="U53" i="7"/>
  <c r="AJ1045" i="3"/>
  <c r="AJ1049" i="3"/>
  <c r="AP553" i="20" s="1"/>
  <c r="AP550" i="20"/>
  <c r="K4" i="7"/>
  <c r="M4" i="7" s="1"/>
  <c r="K6" i="7"/>
  <c r="I7" i="7"/>
  <c r="I11" i="7" s="1"/>
  <c r="G26" i="21"/>
  <c r="F29" i="21"/>
  <c r="G29" i="21"/>
  <c r="Q15" i="7"/>
  <c r="O9" i="7"/>
  <c r="Q8" i="7"/>
  <c r="U58" i="7" l="1"/>
  <c r="W53" i="7"/>
  <c r="AJ1053" i="3"/>
  <c r="AP552" i="20"/>
  <c r="AP554" i="20" s="1"/>
  <c r="K5" i="7"/>
  <c r="O4" i="7"/>
  <c r="M5" i="7"/>
  <c r="M6" i="7"/>
  <c r="K7" i="7"/>
  <c r="S15" i="7"/>
  <c r="G79" i="21"/>
  <c r="G31" i="21"/>
  <c r="G33" i="21" s="1"/>
  <c r="E9" i="21" s="1"/>
  <c r="G88" i="21"/>
  <c r="G90" i="21" s="1"/>
  <c r="E16" i="21" s="1"/>
  <c r="G111" i="21"/>
  <c r="G96" i="21"/>
  <c r="Q9" i="7"/>
  <c r="S8" i="7"/>
  <c r="G80" i="21" l="1"/>
  <c r="E15" i="21" s="1"/>
  <c r="W58" i="7"/>
  <c r="Y53" i="7"/>
  <c r="T24" i="15"/>
  <c r="AP557" i="20"/>
  <c r="AP556" i="20" s="1"/>
  <c r="AP559" i="20" s="1"/>
  <c r="AF552" i="20" s="1"/>
  <c r="K11" i="7"/>
  <c r="O5" i="7"/>
  <c r="Q4" i="7"/>
  <c r="M7" i="7"/>
  <c r="M11" i="7" s="1"/>
  <c r="O6" i="7"/>
  <c r="G101" i="21"/>
  <c r="G113" i="21"/>
  <c r="G97" i="21"/>
  <c r="U15" i="7"/>
  <c r="U8" i="7"/>
  <c r="S9" i="7"/>
  <c r="AA53" i="7" l="1"/>
  <c r="Y58" i="7"/>
  <c r="G115" i="21"/>
  <c r="E17" i="21" s="1"/>
  <c r="E14" i="21" s="1"/>
  <c r="E18" i="21" s="1"/>
  <c r="S4" i="7"/>
  <c r="Q5" i="7"/>
  <c r="O7" i="7"/>
  <c r="O11" i="7" s="1"/>
  <c r="Q6" i="7"/>
  <c r="W15" i="7"/>
  <c r="U9" i="7"/>
  <c r="W8" i="7"/>
  <c r="AC53" i="7" l="1"/>
  <c r="AA58" i="7"/>
  <c r="U4" i="7"/>
  <c r="S5" i="7"/>
  <c r="Q7" i="7"/>
  <c r="Q11" i="7" s="1"/>
  <c r="S6" i="7"/>
  <c r="Y15" i="7"/>
  <c r="W9" i="7"/>
  <c r="Y8" i="7"/>
  <c r="AE53" i="7" l="1"/>
  <c r="AC58" i="7"/>
  <c r="U5" i="7"/>
  <c r="W4" i="7"/>
  <c r="S7" i="7"/>
  <c r="S11" i="7" s="1"/>
  <c r="U6" i="7"/>
  <c r="AA15" i="7"/>
  <c r="Y9" i="7"/>
  <c r="AA8" i="7"/>
  <c r="AG53" i="7" l="1"/>
  <c r="AG58" i="7" s="1"/>
  <c r="AE58" i="7"/>
  <c r="W5" i="7"/>
  <c r="Y4" i="7"/>
  <c r="U7" i="7"/>
  <c r="U11" i="7" s="1"/>
  <c r="W6" i="7"/>
  <c r="AC15" i="7"/>
  <c r="AC8" i="7"/>
  <c r="AA9" i="7"/>
  <c r="AA4" i="7" l="1"/>
  <c r="Y5" i="7"/>
  <c r="Y6" i="7"/>
  <c r="W7" i="7"/>
  <c r="W11" i="7" s="1"/>
  <c r="AE15" i="7"/>
  <c r="AC9" i="7"/>
  <c r="AE8" i="7"/>
  <c r="AA5" i="7" l="1"/>
  <c r="AC4" i="7"/>
  <c r="Y7" i="7"/>
  <c r="Y11" i="7" s="1"/>
  <c r="AA6" i="7"/>
  <c r="AG15" i="7"/>
  <c r="AE9" i="7"/>
  <c r="AG8" i="7"/>
  <c r="AG9" i="7" s="1"/>
  <c r="AC5" i="7" l="1"/>
  <c r="AE4" i="7"/>
  <c r="AC6" i="7"/>
  <c r="AA7" i="7"/>
  <c r="AA11" i="7" s="1"/>
  <c r="AE5" i="7" l="1"/>
  <c r="AG4" i="7"/>
  <c r="AE6" i="7"/>
  <c r="AC7" i="7"/>
  <c r="AC11" i="7" s="1"/>
  <c r="AG5" i="7" l="1"/>
  <c r="AE7" i="7"/>
  <c r="AE11" i="7" s="1"/>
  <c r="AG6" i="7"/>
  <c r="AG7" i="7" l="1"/>
  <c r="AG11" i="7" s="1"/>
  <c r="BH753" i="3" l="1"/>
  <c r="AC753" i="3" s="1"/>
  <c r="BE42" i="3" l="1"/>
  <c r="E93" i="20"/>
  <c r="E94" i="20" s="1"/>
  <c r="E95" i="20" s="1"/>
  <c r="E103" i="20"/>
  <c r="E106" i="20" s="1"/>
  <c r="AP106" i="20" s="1"/>
  <c r="AK109" i="20" s="1"/>
  <c r="T806" i="20" s="1"/>
  <c r="AF806" i="20" s="1"/>
  <c r="BE73" i="3" l="1"/>
  <c r="H3" i="21"/>
  <c r="BA1038" i="3" l="1"/>
  <c r="BA1048" i="3" s="1" a="1"/>
  <c r="BA1048" i="3" s="1"/>
  <c r="B19" i="11"/>
  <c r="C19" i="11"/>
  <c r="B18" i="13"/>
  <c r="B18" i="4"/>
  <c r="B20" i="11"/>
  <c r="C20" i="11"/>
  <c r="B19" i="13"/>
  <c r="B19" i="4"/>
  <c r="C26" i="4"/>
  <c r="C27" i="11" l="1"/>
  <c r="D19" i="11"/>
  <c r="D20" i="11"/>
  <c r="B27" i="11"/>
  <c r="B26" i="13"/>
  <c r="B26" i="4"/>
  <c r="D27" i="11" l="1"/>
  <c r="L30" i="4" l="1"/>
  <c r="L38" i="4" s="1"/>
  <c r="L63" i="4" s="1"/>
  <c r="L97" i="4" s="1"/>
  <c r="L105" i="4" s="1"/>
  <c r="L108" i="4"/>
  <c r="E19" i="7" l="1"/>
  <c r="AC883" i="3"/>
  <c r="AC885" i="3" s="1"/>
  <c r="G19" i="7" l="1"/>
  <c r="E22" i="7"/>
  <c r="I19" i="7" l="1"/>
  <c r="G22" i="7"/>
  <c r="K19" i="7" l="1"/>
  <c r="I22" i="7"/>
  <c r="M19" i="7" l="1"/>
  <c r="K22" i="7"/>
  <c r="O19" i="7" l="1"/>
  <c r="M22" i="7"/>
  <c r="Q19" i="7" l="1"/>
  <c r="O22" i="7"/>
  <c r="S19" i="7" l="1"/>
  <c r="Q22" i="7"/>
  <c r="U19" i="7" l="1"/>
  <c r="S22" i="7"/>
  <c r="W19" i="7" l="1"/>
  <c r="U22" i="7"/>
  <c r="Y19" i="7" l="1"/>
  <c r="W22" i="7"/>
  <c r="AA19" i="7" l="1"/>
  <c r="Y22" i="7"/>
  <c r="AC19" i="7" l="1"/>
  <c r="AA22" i="7"/>
  <c r="AE19" i="7" l="1"/>
  <c r="AC22" i="7"/>
  <c r="AG19" i="7" l="1"/>
  <c r="AG22" i="7" s="1"/>
  <c r="AE22" i="7"/>
  <c r="G68" i="7" l="1"/>
  <c r="I68" i="7" s="1"/>
  <c r="K68" i="7" s="1"/>
  <c r="M68" i="7" s="1"/>
  <c r="O68" i="7" s="1"/>
  <c r="Q68" i="7" s="1"/>
  <c r="S68" i="7" s="1"/>
  <c r="U68" i="7" s="1"/>
  <c r="W68" i="7" s="1"/>
  <c r="Y68" i="7" s="1"/>
  <c r="AA68" i="7" s="1"/>
  <c r="AC68" i="7" s="1"/>
  <c r="AE68" i="7" s="1"/>
  <c r="AG68" i="7" s="1"/>
  <c r="G4" i="4" l="1"/>
  <c r="B4" i="4"/>
  <c r="BE23" i="3" s="1"/>
  <c r="B5" i="11"/>
  <c r="B9" i="11" s="1"/>
  <c r="B13" i="11" s="1"/>
  <c r="B4" i="13"/>
  <c r="D8" i="13" s="1"/>
  <c r="D12" i="13" s="1"/>
  <c r="C5" i="11"/>
  <c r="C8" i="4"/>
  <c r="B8" i="13" l="1"/>
  <c r="C12" i="4"/>
  <c r="B12" i="13" s="1"/>
  <c r="B8" i="4"/>
  <c r="AD211" i="20"/>
  <c r="C9" i="11"/>
  <c r="D5" i="11"/>
  <c r="R4" i="4"/>
  <c r="R8" i="4" s="1"/>
  <c r="R12" i="4" s="1"/>
  <c r="G8" i="4"/>
  <c r="D9" i="11" l="1"/>
  <c r="C13" i="11"/>
  <c r="D13" i="11" s="1"/>
  <c r="G108" i="4"/>
  <c r="G12" i="4"/>
  <c r="G63" i="4"/>
  <c r="G97" i="4" s="1"/>
  <c r="G105" i="4" s="1"/>
  <c r="N189" i="23"/>
  <c r="N195" i="23" s="1"/>
  <c r="B12" i="4"/>
  <c r="D38" i="13" l="1"/>
  <c r="F38" i="13"/>
  <c r="F54" i="13"/>
  <c r="D54" i="13"/>
  <c r="D62" i="13"/>
  <c r="D77" i="13"/>
  <c r="D81" i="13"/>
  <c r="F81" i="13"/>
  <c r="D96" i="13"/>
  <c r="D104" i="13"/>
  <c r="F104" i="13"/>
  <c r="F63" i="13" l="1"/>
  <c r="F97" i="13" s="1"/>
  <c r="F105" i="13" s="1"/>
  <c r="F107" i="13" s="1"/>
  <c r="D63" i="13"/>
  <c r="D97" i="13" s="1"/>
  <c r="D105" i="13" s="1"/>
  <c r="BE21" i="3" l="1"/>
  <c r="AF627" i="3"/>
  <c r="E40" i="7" s="1"/>
  <c r="K108" i="4"/>
  <c r="K45" i="4" s="1"/>
  <c r="K54" i="4" s="1"/>
  <c r="K63" i="4" s="1"/>
  <c r="K97" i="4" s="1"/>
  <c r="K105" i="4" s="1"/>
  <c r="E29" i="7"/>
  <c r="N10" i="23"/>
  <c r="B31" i="11"/>
  <c r="B32" i="11"/>
  <c r="E31" i="4"/>
  <c r="R31" i="4" s="1"/>
  <c r="S31" i="4" s="1"/>
  <c r="E31" i="13" s="1"/>
  <c r="C33" i="11"/>
  <c r="E33" i="4"/>
  <c r="R33" i="4" s="1"/>
  <c r="S33" i="4" s="1"/>
  <c r="E33" i="13" s="1"/>
  <c r="B46" i="11"/>
  <c r="B46" i="13"/>
  <c r="E46" i="13"/>
  <c r="B48" i="13"/>
  <c r="B53" i="11"/>
  <c r="E52" i="13"/>
  <c r="C57" i="11"/>
  <c r="E56" i="4"/>
  <c r="R56" i="4" s="1"/>
  <c r="B61" i="13"/>
  <c r="B76" i="11"/>
  <c r="B78" i="11" s="1"/>
  <c r="B80" i="11"/>
  <c r="E79" i="4"/>
  <c r="R79" i="4" s="1"/>
  <c r="B80" i="13"/>
  <c r="B99" i="13"/>
  <c r="J99" i="4"/>
  <c r="E99" i="4" s="1"/>
  <c r="R99" i="4" s="1"/>
  <c r="J104" i="4"/>
  <c r="J105" i="4" s="1"/>
  <c r="E108" i="4"/>
  <c r="F108" i="4"/>
  <c r="F30" i="4" s="1"/>
  <c r="F38" i="4" s="1"/>
  <c r="F63" i="4" s="1"/>
  <c r="F97" i="4" s="1"/>
  <c r="F105" i="4" s="1"/>
  <c r="J108" i="4"/>
  <c r="I9" i="21"/>
  <c r="B33" i="11" l="1"/>
  <c r="E80" i="4"/>
  <c r="R80" i="4" s="1"/>
  <c r="S80" i="4" s="1"/>
  <c r="E80" i="13" s="1"/>
  <c r="S54" i="4"/>
  <c r="E54" i="13" s="1"/>
  <c r="B79" i="4"/>
  <c r="C77" i="4"/>
  <c r="B77" i="4" s="1"/>
  <c r="E83" i="4"/>
  <c r="E75" i="4"/>
  <c r="R75" i="4" s="1"/>
  <c r="R77" i="4" s="1"/>
  <c r="B45" i="4"/>
  <c r="B30" i="4"/>
  <c r="B56" i="13"/>
  <c r="C62" i="4"/>
  <c r="B62" i="13" s="1"/>
  <c r="E48" i="4"/>
  <c r="R48" i="4" s="1"/>
  <c r="B33" i="4"/>
  <c r="B45" i="13"/>
  <c r="D33" i="11"/>
  <c r="B57" i="11"/>
  <c r="D57" i="11" s="1"/>
  <c r="AM566" i="3"/>
  <c r="C54" i="4"/>
  <c r="B54" i="13" s="1"/>
  <c r="B75" i="4"/>
  <c r="B32" i="4"/>
  <c r="C49" i="11"/>
  <c r="S99" i="4"/>
  <c r="R104" i="4"/>
  <c r="K40" i="7"/>
  <c r="K43" i="7" s="1"/>
  <c r="AA40" i="7"/>
  <c r="AA43" i="7" s="1"/>
  <c r="M40" i="7"/>
  <c r="M43" i="7" s="1"/>
  <c r="AC40" i="7"/>
  <c r="AC43" i="7" s="1"/>
  <c r="O40" i="7"/>
  <c r="O43" i="7" s="1"/>
  <c r="AE40" i="7"/>
  <c r="AE43" i="7" s="1"/>
  <c r="Q40" i="7"/>
  <c r="Q43" i="7" s="1"/>
  <c r="AG40" i="7"/>
  <c r="AG43" i="7" s="1"/>
  <c r="S40" i="7"/>
  <c r="S43" i="7" s="1"/>
  <c r="E43" i="7"/>
  <c r="U40" i="7"/>
  <c r="U43" i="7" s="1"/>
  <c r="I40" i="7"/>
  <c r="I43" i="7" s="1"/>
  <c r="G40" i="7"/>
  <c r="G43" i="7" s="1"/>
  <c r="W40" i="7"/>
  <c r="W43" i="7" s="1"/>
  <c r="Y40" i="7"/>
  <c r="Y43" i="7" s="1"/>
  <c r="U29" i="7"/>
  <c r="U35" i="7" s="1"/>
  <c r="U37" i="7" s="1"/>
  <c r="G29" i="7"/>
  <c r="G35" i="7" s="1"/>
  <c r="G37" i="7" s="1"/>
  <c r="W29" i="7"/>
  <c r="W35" i="7" s="1"/>
  <c r="W37" i="7" s="1"/>
  <c r="I29" i="7"/>
  <c r="I35" i="7" s="1"/>
  <c r="I37" i="7" s="1"/>
  <c r="Y29" i="7"/>
  <c r="Y35" i="7" s="1"/>
  <c r="Y37" i="7" s="1"/>
  <c r="K29" i="7"/>
  <c r="K35" i="7" s="1"/>
  <c r="K37" i="7" s="1"/>
  <c r="AA29" i="7"/>
  <c r="AA35" i="7" s="1"/>
  <c r="AA37" i="7" s="1"/>
  <c r="E35" i="7"/>
  <c r="E37" i="7" s="1"/>
  <c r="M29" i="7"/>
  <c r="M35" i="7" s="1"/>
  <c r="M37" i="7" s="1"/>
  <c r="AC29" i="7"/>
  <c r="AC35" i="7" s="1"/>
  <c r="AC37" i="7" s="1"/>
  <c r="S29" i="7"/>
  <c r="S35" i="7" s="1"/>
  <c r="S37" i="7" s="1"/>
  <c r="O29" i="7"/>
  <c r="O35" i="7" s="1"/>
  <c r="O37" i="7" s="1"/>
  <c r="AE29" i="7"/>
  <c r="AE35" i="7" s="1"/>
  <c r="AE37" i="7" s="1"/>
  <c r="Q29" i="7"/>
  <c r="Q35" i="7" s="1"/>
  <c r="Q37" i="7" s="1"/>
  <c r="AG29" i="7"/>
  <c r="AG35" i="7" s="1"/>
  <c r="AG37" i="7" s="1"/>
  <c r="R83" i="4"/>
  <c r="R96" i="4" s="1"/>
  <c r="E96" i="4"/>
  <c r="S79" i="4"/>
  <c r="R81" i="4"/>
  <c r="B54" i="4"/>
  <c r="B79" i="13"/>
  <c r="B31" i="13"/>
  <c r="B49" i="11"/>
  <c r="D49" i="11" s="1"/>
  <c r="E104" i="4"/>
  <c r="B99" i="4"/>
  <c r="B48" i="4"/>
  <c r="C38" i="4"/>
  <c r="B31" i="4"/>
  <c r="B77" i="13"/>
  <c r="C81" i="11"/>
  <c r="C32" i="11"/>
  <c r="D32" i="11" s="1"/>
  <c r="AO639" i="3"/>
  <c r="E45" i="13"/>
  <c r="G143" i="21"/>
  <c r="C104" i="4"/>
  <c r="B80" i="4"/>
  <c r="B62" i="4"/>
  <c r="B56" i="4"/>
  <c r="E45" i="4"/>
  <c r="E32" i="4"/>
  <c r="R32" i="4" s="1"/>
  <c r="S32" i="4" s="1"/>
  <c r="E32" i="13" s="1"/>
  <c r="B83" i="13"/>
  <c r="B75" i="13"/>
  <c r="B30" i="13"/>
  <c r="C100" i="11"/>
  <c r="B81" i="11"/>
  <c r="B82" i="11" s="1"/>
  <c r="C76" i="11"/>
  <c r="C47" i="11"/>
  <c r="C96" i="4"/>
  <c r="E81" i="4"/>
  <c r="E52" i="4"/>
  <c r="R52" i="4" s="1"/>
  <c r="B52" i="13"/>
  <c r="B100" i="11"/>
  <c r="B105" i="11" s="1"/>
  <c r="C84" i="11"/>
  <c r="C62" i="11"/>
  <c r="B47" i="11"/>
  <c r="B55" i="11" s="1"/>
  <c r="C34" i="11"/>
  <c r="B83" i="4"/>
  <c r="G144" i="21"/>
  <c r="C81" i="4"/>
  <c r="E61" i="4"/>
  <c r="E46" i="4"/>
  <c r="R46" i="4" s="1"/>
  <c r="B33" i="13"/>
  <c r="B84" i="11"/>
  <c r="B97" i="11" s="1"/>
  <c r="C80" i="11"/>
  <c r="B62" i="11"/>
  <c r="B63" i="11" s="1"/>
  <c r="C53" i="11"/>
  <c r="D53" i="11" s="1"/>
  <c r="B34" i="11"/>
  <c r="B39" i="11" s="1"/>
  <c r="C31" i="11"/>
  <c r="B52" i="4"/>
  <c r="E30" i="4"/>
  <c r="C46" i="11"/>
  <c r="B61" i="4"/>
  <c r="B46" i="4"/>
  <c r="B32" i="13"/>
  <c r="E77" i="4" l="1"/>
  <c r="D62" i="11"/>
  <c r="B64" i="11"/>
  <c r="B98" i="11" s="1"/>
  <c r="B106" i="11" s="1"/>
  <c r="C105" i="11"/>
  <c r="D105" i="11" s="1"/>
  <c r="D100" i="11"/>
  <c r="R30" i="4"/>
  <c r="E38" i="4"/>
  <c r="D76" i="11"/>
  <c r="C78" i="11"/>
  <c r="D78" i="11" s="1"/>
  <c r="D81" i="11"/>
  <c r="AE45" i="7"/>
  <c r="AE49" i="7"/>
  <c r="Y49" i="7"/>
  <c r="Y45" i="7"/>
  <c r="D31" i="11"/>
  <c r="C39" i="11"/>
  <c r="R61" i="4"/>
  <c r="R62" i="4" s="1"/>
  <c r="E62" i="4"/>
  <c r="D84" i="11"/>
  <c r="C97" i="11"/>
  <c r="D97" i="11" s="1"/>
  <c r="O45" i="7"/>
  <c r="O49" i="7"/>
  <c r="I49" i="7"/>
  <c r="I45" i="7"/>
  <c r="S81" i="4"/>
  <c r="E81" i="13" s="1"/>
  <c r="E79" i="13"/>
  <c r="W49" i="7"/>
  <c r="W45" i="7"/>
  <c r="B81" i="4"/>
  <c r="B81" i="13"/>
  <c r="B104" i="13"/>
  <c r="B104" i="4"/>
  <c r="C63" i="4"/>
  <c r="B38" i="13"/>
  <c r="B38" i="4"/>
  <c r="B63" i="4" s="1"/>
  <c r="AC49" i="7"/>
  <c r="AC45" i="7"/>
  <c r="G49" i="7"/>
  <c r="G45" i="7"/>
  <c r="M49" i="7"/>
  <c r="M45" i="7"/>
  <c r="U49" i="7"/>
  <c r="U45" i="7"/>
  <c r="E49" i="7"/>
  <c r="E45" i="7"/>
  <c r="B96" i="4"/>
  <c r="B96" i="13"/>
  <c r="AB48" i="15"/>
  <c r="AO641" i="3"/>
  <c r="C63" i="11"/>
  <c r="D63" i="11" s="1"/>
  <c r="AG45" i="7"/>
  <c r="AG49" i="7"/>
  <c r="AA49" i="7"/>
  <c r="AA45" i="7"/>
  <c r="S104" i="4"/>
  <c r="E99" i="13"/>
  <c r="S45" i="7"/>
  <c r="S49" i="7"/>
  <c r="C82" i="11"/>
  <c r="D82" i="11" s="1"/>
  <c r="D80" i="11"/>
  <c r="D34" i="11"/>
  <c r="D46" i="11"/>
  <c r="C55" i="11"/>
  <c r="D55" i="11" s="1"/>
  <c r="D47" i="11"/>
  <c r="E54" i="4"/>
  <c r="R45" i="4"/>
  <c r="R54" i="4" s="1"/>
  <c r="Q45" i="7"/>
  <c r="Q49" i="7"/>
  <c r="K49" i="7"/>
  <c r="K45" i="7"/>
  <c r="I60" i="7" l="1"/>
  <c r="I48" i="7"/>
  <c r="I47" i="7"/>
  <c r="C64" i="11"/>
  <c r="D39" i="11"/>
  <c r="AE60" i="7"/>
  <c r="AE48" i="7"/>
  <c r="AE47" i="7"/>
  <c r="B63" i="13"/>
  <c r="C97" i="4"/>
  <c r="E104" i="13"/>
  <c r="BA1058" i="3"/>
  <c r="G60" i="7"/>
  <c r="G48" i="7"/>
  <c r="G47" i="7"/>
  <c r="E63" i="4"/>
  <c r="E97" i="4" s="1"/>
  <c r="E105" i="4" s="1"/>
  <c r="M60" i="7"/>
  <c r="M48" i="7"/>
  <c r="M47" i="7"/>
  <c r="K60" i="7"/>
  <c r="K48" i="7"/>
  <c r="K47" i="7"/>
  <c r="Y60" i="7"/>
  <c r="Y48" i="7"/>
  <c r="Y47" i="7"/>
  <c r="R38" i="4"/>
  <c r="R63" i="4" s="1"/>
  <c r="R97" i="4" s="1"/>
  <c r="R105" i="4" s="1"/>
  <c r="S30" i="4"/>
  <c r="S48" i="7"/>
  <c r="S47" i="7"/>
  <c r="S60" i="7"/>
  <c r="E48" i="7"/>
  <c r="E47" i="7"/>
  <c r="E60" i="7"/>
  <c r="AC60" i="7"/>
  <c r="AC48" i="7"/>
  <c r="AC47" i="7"/>
  <c r="O47" i="7"/>
  <c r="O60" i="7"/>
  <c r="O48" i="7"/>
  <c r="Q47" i="7"/>
  <c r="Q48" i="7"/>
  <c r="Q60" i="7"/>
  <c r="AG47" i="7"/>
  <c r="AG60" i="7"/>
  <c r="AG48" i="7"/>
  <c r="U48" i="7"/>
  <c r="U47" i="7"/>
  <c r="U60" i="7"/>
  <c r="AA60" i="7"/>
  <c r="AA48" i="7"/>
  <c r="AA47" i="7"/>
  <c r="W60" i="7"/>
  <c r="W48" i="7"/>
  <c r="W47" i="7"/>
  <c r="S67" i="7" l="1"/>
  <c r="S66" i="7"/>
  <c r="S70" i="7" s="1"/>
  <c r="S62" i="7"/>
  <c r="S72" i="7" s="1"/>
  <c r="E67" i="7"/>
  <c r="E66" i="7"/>
  <c r="E62" i="7"/>
  <c r="AG67" i="7"/>
  <c r="AG66" i="7"/>
  <c r="AG62" i="7"/>
  <c r="AA66" i="7"/>
  <c r="AA62" i="7"/>
  <c r="AA67" i="7"/>
  <c r="M67" i="7"/>
  <c r="M66" i="7"/>
  <c r="M62" i="7"/>
  <c r="I62" i="7"/>
  <c r="I66" i="7"/>
  <c r="I67" i="7"/>
  <c r="U67" i="7"/>
  <c r="U66" i="7"/>
  <c r="U70" i="7" s="1"/>
  <c r="U72" i="7" s="1"/>
  <c r="U62" i="7"/>
  <c r="Y62" i="7"/>
  <c r="Y67" i="7"/>
  <c r="Y66" i="7"/>
  <c r="AE67" i="7"/>
  <c r="AE66" i="7"/>
  <c r="AE62" i="7"/>
  <c r="G67" i="7"/>
  <c r="G66" i="7"/>
  <c r="G62" i="7"/>
  <c r="O67" i="7"/>
  <c r="O66" i="7"/>
  <c r="O62" i="7"/>
  <c r="C98" i="11"/>
  <c r="D64" i="11"/>
  <c r="S38" i="4"/>
  <c r="E30" i="13"/>
  <c r="W62" i="7"/>
  <c r="W67" i="7"/>
  <c r="W66" i="7"/>
  <c r="K66" i="7"/>
  <c r="K62" i="7"/>
  <c r="K67" i="7"/>
  <c r="Q67" i="7"/>
  <c r="Q66" i="7"/>
  <c r="Q62" i="7"/>
  <c r="AC67" i="7"/>
  <c r="AC66" i="7"/>
  <c r="AC62" i="7"/>
  <c r="C105" i="4"/>
  <c r="B97" i="4"/>
  <c r="B97" i="13"/>
  <c r="W70" i="7" l="1"/>
  <c r="AG70" i="7"/>
  <c r="AG72" i="7" s="1"/>
  <c r="AA70" i="7"/>
  <c r="AA72" i="7" s="1"/>
  <c r="W72" i="7"/>
  <c r="K70" i="7"/>
  <c r="K72" i="7" s="1"/>
  <c r="I70" i="7"/>
  <c r="I72" i="7" s="1"/>
  <c r="Q70" i="7"/>
  <c r="Q72" i="7" s="1"/>
  <c r="Y70" i="7"/>
  <c r="Y72" i="7" s="1"/>
  <c r="AC70" i="7"/>
  <c r="AC72" i="7" s="1"/>
  <c r="E38" i="13"/>
  <c r="S63" i="4"/>
  <c r="G70" i="7"/>
  <c r="G72" i="7" s="1"/>
  <c r="E70" i="7"/>
  <c r="E72" i="7" s="1"/>
  <c r="D98" i="11"/>
  <c r="C106" i="11"/>
  <c r="D106" i="11" s="1"/>
  <c r="O70" i="7"/>
  <c r="O72" i="7" s="1"/>
  <c r="AC455" i="3"/>
  <c r="B105" i="4"/>
  <c r="BE101" i="3"/>
  <c r="B105" i="13"/>
  <c r="AG269" i="20"/>
  <c r="AE70" i="7"/>
  <c r="AE72" i="7" s="1"/>
  <c r="M70" i="7"/>
  <c r="M72" i="7" s="1"/>
  <c r="E63" i="13" l="1"/>
  <c r="S97" i="4"/>
  <c r="AB47" i="15"/>
  <c r="AB49" i="15" s="1"/>
  <c r="N185" i="23"/>
  <c r="BE22" i="3"/>
  <c r="AB266" i="20"/>
  <c r="AG268" i="20" s="1"/>
  <c r="AG270" i="20" s="1"/>
  <c r="AK273" i="20" s="1"/>
  <c r="T812" i="20" s="1"/>
  <c r="AF812" i="20" s="1"/>
  <c r="AC454" i="3"/>
  <c r="F457" i="3" l="1"/>
  <c r="BE44" i="3"/>
  <c r="N186" i="23"/>
  <c r="N196" i="23"/>
  <c r="AB54" i="15"/>
  <c r="AB55" i="15" s="1"/>
  <c r="BE77" i="3"/>
  <c r="S105" i="4"/>
  <c r="E97" i="13"/>
  <c r="AZ1046" i="3"/>
  <c r="BA1056" i="3" l="1"/>
  <c r="AZ1051" i="3"/>
  <c r="BA1055" i="3" s="1"/>
  <c r="BA1059" i="3" s="1"/>
  <c r="S107" i="4"/>
  <c r="E105" i="13"/>
  <c r="AA1056" i="3" l="1"/>
  <c r="AA1057" i="3" s="1"/>
  <c r="G1058" i="3" s="1"/>
  <c r="AC456" i="3"/>
  <c r="AF551" i="20"/>
  <c r="AF553" i="20" s="1"/>
  <c r="AK559" i="20" s="1"/>
  <c r="T818" i="20" s="1"/>
  <c r="AF818" i="20" s="1"/>
  <c r="E107" i="13"/>
  <c r="T11" i="15" s="1"/>
  <c r="T23" i="15" s="1"/>
  <c r="T26" i="15" l="1"/>
  <c r="T28" i="15" s="1"/>
  <c r="T29" i="15" s="1"/>
  <c r="Y64" i="15"/>
  <c r="Y68" i="15" s="1"/>
  <c r="Y69" i="15" s="1"/>
  <c r="AD38" i="15"/>
  <c r="AD40" i="15" s="1"/>
  <c r="BE81" i="3"/>
  <c r="AF821" i="20"/>
  <c r="BE70" i="3" s="1"/>
  <c r="Y38" i="15" l="1"/>
  <c r="Y40" i="15" s="1"/>
  <c r="Y41" i="15" s="1"/>
  <c r="AB56" i="15" s="1"/>
  <c r="M26" i="3" l="1"/>
  <c r="AB57" i="15"/>
  <c r="AB59" i="15" l="1"/>
  <c r="AB77" i="15" s="1"/>
  <c r="AB78" i="15" s="1"/>
  <c r="BE19" i="3"/>
  <c r="P204" i="3"/>
  <c r="I10" i="21" l="1"/>
  <c r="I11" i="21" s="1"/>
  <c r="I18" i="21" s="1"/>
  <c r="H4" i="21" s="1"/>
  <c r="H5" i="21" s="1"/>
  <c r="BE83" i="3" s="1"/>
  <c r="AB79" i="15"/>
  <c r="AB81" i="15" s="1"/>
  <c r="J82" i="15" s="1"/>
  <c r="M27" i="3"/>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BB30B510-59D3-4267-8880-CD702B16D5D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 ref="C66" authorId="0" shapeId="0" xr:uid="{66EC48C4-C473-4B77-970B-5E6CD3FED9BD}">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<sst xmlns="http://schemas.openxmlformats.org/spreadsheetml/2006/main" count="5007" uniqueCount="2756">
  <si>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</si>
  <si>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</si>
  <si>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</si>
  <si>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</si>
  <si>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</si>
  <si>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</si>
  <si>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</si>
  <si>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</si>
  <si>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</si>
  <si>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</si>
  <si>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</si>
  <si>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</si>
  <si>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</si>
  <si>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</si>
  <si>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</si>
  <si>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</si>
  <si>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</si>
  <si>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</si>
  <si>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</si>
  <si>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</si>
  <si>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</si>
  <si>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</si>
  <si>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</si>
  <si>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</si>
  <si>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</si>
  <si>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</si>
  <si>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</si>
  <si>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</si>
  <si>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</si>
  <si>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</si>
  <si>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</si>
  <si>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</si>
  <si>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</si>
  <si>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</si>
  <si>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</si>
  <si>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</si>
  <si>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</si>
  <si>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</si>
  <si>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</si>
  <si>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</si>
  <si>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</si>
  <si>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</si>
  <si>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</si>
  <si>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</si>
  <si>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</si>
  <si>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</si>
  <si>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</si>
  <si>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</si>
  <si>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</si>
  <si>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</si>
  <si>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</si>
  <si>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</si>
  <si>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</si>
  <si>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</si>
  <si>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</si>
  <si>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</si>
  <si>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</si>
  <si>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</si>
  <si>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</si>
  <si>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</si>
  <si>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</si>
  <si>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</si>
  <si>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</si>
  <si>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</si>
  <si>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</si>
  <si>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</si>
  <si>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</si>
  <si>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</si>
  <si>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</si>
  <si>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</si>
  <si>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</si>
  <si>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</si>
  <si>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</si>
  <si>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</si>
  <si>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</si>
  <si>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</si>
  <si>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</si>
  <si>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</si>
  <si>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</si>
  <si>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</si>
  <si>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</si>
  <si>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</si>
  <si>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</si>
  <si>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</si>
  <si>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</si>
  <si>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</si>
  <si>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</si>
  <si>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</si>
  <si>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</si>
  <si>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</si>
  <si>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</si>
  <si>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</si>
  <si>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</si>
  <si>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</si>
  <si>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</si>
  <si>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</si>
  <si>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</si>
  <si>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</si>
  <si>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</si>
  <si>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</si>
  <si>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</si>
  <si>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</si>
  <si>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</si>
  <si>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</si>
  <si>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</si>
  <si>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</si>
  <si>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</si>
  <si>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</si>
  <si>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</si>
  <si>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</si>
  <si>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</si>
  <si>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</si>
  <si>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</si>
  <si>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</si>
  <si>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</si>
  <si>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</si>
  <si>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</si>
  <si>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</si>
  <si>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</si>
  <si>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</si>
  <si>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</si>
  <si>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</si>
  <si>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</si>
  <si>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</si>
  <si>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</si>
  <si>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</si>
  <si>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</si>
  <si>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</si>
  <si>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</si>
  <si>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</si>
  <si>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</si>
  <si>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</si>
  <si>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</si>
  <si>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</si>
  <si>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</si>
  <si>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</si>
  <si>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</si>
  <si>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</si>
  <si>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</si>
  <si>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</si>
  <si>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</si>
  <si>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</si>
  <si>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</si>
  <si>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</si>
  <si>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</si>
  <si>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</si>
  <si>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</si>
  <si>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</si>
  <si>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</si>
  <si>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</si>
  <si>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</si>
  <si>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</si>
  <si>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</si>
  <si>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</si>
  <si>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</si>
  <si>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</si>
  <si>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</si>
  <si>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</si>
  <si>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</si>
  <si>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</si>
  <si>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</si>
  <si>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</si>
  <si>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</si>
  <si>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</si>
  <si>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</si>
  <si>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</si>
  <si>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</si>
  <si>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</si>
  <si>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</si>
  <si>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</si>
  <si>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</si>
  <si>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</si>
  <si>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</si>
  <si>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</si>
  <si>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</si>
  <si>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</si>
  <si>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</si>
  <si>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</si>
  <si>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</si>
  <si>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</si>
  <si>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</si>
  <si>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</si>
  <si>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</si>
  <si>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</si>
  <si>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</si>
  <si>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</si>
  <si>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</si>
  <si>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</si>
  <si>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</si>
  <si>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</si>
  <si>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</si>
  <si>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</si>
  <si>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</si>
  <si>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</si>
  <si>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</si>
  <si>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</si>
  <si>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</si>
  <si>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</si>
  <si>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</si>
  <si>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</si>
  <si>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</si>
  <si>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</si>
  <si>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</si>
  <si>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</si>
  <si>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</si>
  <si>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</si>
  <si>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</si>
  <si>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</si>
  <si>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</si>
  <si>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</si>
  <si>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</si>
  <si>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</si>
  <si>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</si>
  <si>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</si>
  <si>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</si>
  <si>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</si>
  <si>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</si>
  <si>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</si>
  <si>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</si>
  <si>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</si>
  <si>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</si>
  <si>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</si>
  <si>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</si>
  <si>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</si>
  <si>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</si>
  <si>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</si>
  <si>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</si>
  <si>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</si>
  <si>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</si>
  <si>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</si>
  <si>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</si>
  <si>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</si>
  <si>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</si>
  <si>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</si>
  <si>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</si>
  <si>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</si>
  <si>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</si>
  <si>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</si>
  <si>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</si>
  <si>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</si>
  <si>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</si>
  <si>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</si>
  <si>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</si>
  <si>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</si>
  <si>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</si>
  <si>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</si>
  <si>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</si>
  <si>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</si>
  <si>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</si>
  <si>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</si>
  <si>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</si>
  <si>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</si>
  <si>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</si>
  <si>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</si>
  <si>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</si>
  <si>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</si>
  <si>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</si>
  <si>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</si>
  <si>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</si>
  <si>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</si>
  <si>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</si>
  <si>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</si>
  <si>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</si>
  <si>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</si>
  <si>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</si>
  <si>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</si>
  <si>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</si>
  <si>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</si>
  <si>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</si>
  <si>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</si>
  <si>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</si>
  <si>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</si>
  <si>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</si>
  <si>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</si>
  <si>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</si>
  <si>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</si>
  <si>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</si>
  <si>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</si>
  <si>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</si>
  <si>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</si>
  <si>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</si>
  <si>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</si>
  <si>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</si>
  <si>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</si>
  <si>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</si>
  <si>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</si>
  <si>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</si>
  <si>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</si>
  <si>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</si>
  <si>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</si>
  <si>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</si>
  <si>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</si>
  <si>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</si>
  <si>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</si>
  <si>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</si>
  <si>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</si>
  <si>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</si>
  <si>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</si>
  <si>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</si>
  <si>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</si>
  <si>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</si>
  <si>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</si>
  <si>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</si>
  <si>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</si>
  <si>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</si>
  <si>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</si>
  <si>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</si>
  <si>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</si>
  <si>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</si>
  <si>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</si>
  <si>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</si>
  <si>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</si>
  <si>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</si>
  <si>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</si>
  <si>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</si>
  <si>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</si>
  <si>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</si>
  <si>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</si>
  <si>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</si>
  <si>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</si>
  <si>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</si>
  <si>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</si>
  <si>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</si>
  <si>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</si>
  <si>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</si>
  <si>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</si>
  <si>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</si>
  <si>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</si>
  <si>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</si>
  <si>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</si>
  <si>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</si>
  <si>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</si>
  <si>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</si>
  <si>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</si>
  <si>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</si>
  <si>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</si>
  <si>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</si>
  <si>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</si>
  <si>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</si>
  <si>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</si>
  <si>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</si>
  <si>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</si>
  <si>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</si>
  <si>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</si>
  <si>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</si>
  <si>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</si>
  <si>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</si>
  <si>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</si>
  <si>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</si>
  <si>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</si>
  <si>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</si>
  <si>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</si>
  <si>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</si>
  <si>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</si>
  <si>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</si>
  <si>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</si>
  <si>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</si>
  <si>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</si>
  <si>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</si>
  <si>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</si>
  <si>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</si>
  <si>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</si>
  <si>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</si>
  <si>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</si>
  <si>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</si>
  <si>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</si>
  <si>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</si>
  <si>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</si>
  <si>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</si>
  <si>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</si>
  <si>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</si>
  <si>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</si>
  <si>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</si>
  <si>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</si>
  <si>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</si>
  <si>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</si>
  <si>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</si>
  <si>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</si>
  <si>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</si>
  <si>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</si>
  <si>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</si>
  <si>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</si>
  <si>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</si>
  <si>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</si>
  <si>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</si>
  <si>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</si>
  <si>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</si>
  <si>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</si>
  <si>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</si>
  <si>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</si>
  <si>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</si>
  <si>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</si>
  <si>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</si>
  <si>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</si>
  <si>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</si>
  <si>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</si>
  <si>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</si>
  <si>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</si>
  <si>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</si>
  <si>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</si>
  <si>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</si>
  <si>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</si>
  <si>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</si>
  <si>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</si>
  <si>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</si>
  <si>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</si>
  <si>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</si>
  <si>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</si>
  <si>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</si>
  <si>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</si>
  <si>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</si>
  <si>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</si>
  <si>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</si>
  <si>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</si>
  <si>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</si>
  <si>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</si>
  <si>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</si>
  <si>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</si>
  <si>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</si>
  <si>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</si>
  <si>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</si>
  <si>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</si>
  <si>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</si>
  <si>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</si>
  <si>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</si>
  <si>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</si>
  <si>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</si>
  <si>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</si>
  <si>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</si>
  <si>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</si>
  <si>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</si>
  <si>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</si>
  <si>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</si>
  <si>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</si>
  <si>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</si>
  <si>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</si>
  <si>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</si>
  <si>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</si>
  <si>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</si>
  <si>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</si>
  <si>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</si>
  <si>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</si>
  <si>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</si>
  <si>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</si>
  <si>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</si>
  <si>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</si>
  <si>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</si>
  <si>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</si>
  <si>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</si>
  <si>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</si>
  <si>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</si>
  <si>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</si>
  <si>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</si>
  <si>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</si>
  <si>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</si>
  <si>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</si>
  <si>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</si>
  <si>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</si>
  <si>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</si>
  <si>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</si>
  <si>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</si>
  <si>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</si>
  <si>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</si>
  <si>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</si>
  <si>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</si>
  <si>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</si>
  <si>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</si>
  <si>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</si>
  <si>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</si>
  <si>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</si>
  <si>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</si>
  <si>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</si>
  <si>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</si>
  <si>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</si>
  <si>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</si>
  <si>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</si>
  <si>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</si>
  <si>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</si>
  <si>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</si>
  <si>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</si>
  <si>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</si>
  <si>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</si>
  <si>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</si>
  <si>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</si>
  <si>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</si>
  <si>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</si>
  <si>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</si>
  <si>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</si>
  <si>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</si>
  <si>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</si>
  <si>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</si>
  <si>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</si>
  <si>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</si>
  <si>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</si>
  <si>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</si>
  <si>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</si>
  <si>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</si>
  <si>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</si>
  <si>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</si>
  <si>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</si>
  <si>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</si>
  <si>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</si>
  <si>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</si>
  <si>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</si>
  <si>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</si>
  <si>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</si>
  <si>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</si>
  <si>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</si>
  <si>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</si>
  <si>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</si>
  <si>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</si>
  <si>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</si>
  <si>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</si>
  <si>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</si>
  <si>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</si>
  <si>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</si>
  <si>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</si>
  <si>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</si>
  <si>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</si>
  <si>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</si>
  <si>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</si>
  <si>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</si>
  <si>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</si>
  <si>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</si>
  <si>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</si>
  <si>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</si>
  <si>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</si>
  <si>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</si>
  <si>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</si>
  <si>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</si>
  <si>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</si>
  <si>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</si>
  <si>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</si>
  <si>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</si>
  <si>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</si>
  <si>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</si>
  <si>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</si>
  <si>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</si>
  <si>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</si>
  <si>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</si>
  <si>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</si>
  <si>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</si>
  <si>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</si>
  <si>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</si>
  <si>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</si>
  <si>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</si>
  <si>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</si>
  <si>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</si>
  <si>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</si>
  <si>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</si>
  <si>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</si>
  <si>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</si>
  <si>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</si>
  <si>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</si>
  <si>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</si>
  <si>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</si>
  <si>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</si>
  <si>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</si>
  <si>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</si>
  <si>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</si>
  <si>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</si>
  <si>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</si>
  <si>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</si>
  <si>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</si>
  <si>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</si>
  <si>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</si>
  <si>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</si>
  <si>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</si>
  <si>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</si>
  <si>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</si>
  <si>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</si>
  <si>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</si>
  <si>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</si>
  <si>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</si>
  <si>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</si>
  <si>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</si>
  <si>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</si>
  <si>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</si>
  <si>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</si>
  <si>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</si>
  <si>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</si>
  <si>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</si>
  <si>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</si>
  <si>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</si>
  <si>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</si>
  <si>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</si>
  <si>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</si>
  <si>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</si>
  <si>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</si>
  <si>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</si>
  <si>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</si>
  <si>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</si>
  <si>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</si>
  <si>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</si>
  <si>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</si>
  <si>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</si>
  <si>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</si>
  <si>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</si>
  <si>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</si>
  <si>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</si>
  <si>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</si>
  <si>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</si>
  <si>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</si>
  <si>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</si>
  <si>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</si>
  <si>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</si>
  <si>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</si>
  <si>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</si>
  <si>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</si>
  <si>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</si>
  <si>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</si>
  <si>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</si>
  <si>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</si>
  <si>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</si>
  <si>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</si>
  <si>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</si>
  <si>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</si>
  <si>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</si>
  <si>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</si>
  <si>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</si>
  <si>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</si>
  <si>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</si>
  <si>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</si>
  <si>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</si>
  <si>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</si>
  <si>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</si>
  <si>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</si>
  <si>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</si>
  <si>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</si>
  <si>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</si>
  <si>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</si>
  <si>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</si>
  <si>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</si>
  <si>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</si>
  <si>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</si>
  <si>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</si>
  <si>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</si>
  <si>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</si>
  <si>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</si>
  <si>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</si>
  <si>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</si>
  <si>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</si>
  <si>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</si>
  <si>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</si>
  <si>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</si>
  <si>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</si>
  <si>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</si>
  <si>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</si>
  <si>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</si>
  <si>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</si>
  <si>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</si>
  <si>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</si>
  <si>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</si>
  <si>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</si>
  <si>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</si>
  <si>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</si>
  <si>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</si>
  <si>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</si>
  <si>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</si>
  <si>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</si>
  <si>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</si>
  <si>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</si>
  <si>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</si>
  <si>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</si>
  <si>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</si>
  <si>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</si>
  <si>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</si>
  <si>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</si>
  <si>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</si>
  <si>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</si>
  <si>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</si>
  <si>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</si>
  <si>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</si>
  <si>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</si>
  <si>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</si>
  <si>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</si>
  <si>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</si>
  <si>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</si>
  <si>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</si>
  <si>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</si>
  <si>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</si>
  <si>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</si>
  <si>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</si>
  <si>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</si>
  <si>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</si>
  <si>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</si>
  <si>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</si>
  <si>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</si>
  <si>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</si>
  <si>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</si>
  <si>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</si>
  <si>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</si>
  <si>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</si>
  <si>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</si>
  <si>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</si>
  <si>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</si>
  <si>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</si>
  <si>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</si>
  <si>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</si>
  <si>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</si>
  <si>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</si>
  <si>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</si>
  <si>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</si>
  <si>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</si>
  <si>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</si>
  <si>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</si>
  <si>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</si>
  <si>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</si>
  <si>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</si>
  <si>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</si>
  <si>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</si>
  <si>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</si>
  <si>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</si>
  <si>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</si>
  <si>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</si>
  <si>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</si>
  <si>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</si>
  <si>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</si>
  <si>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</si>
  <si>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</si>
  <si>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</si>
  <si>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</si>
  <si>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</si>
  <si>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</si>
  <si>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</si>
  <si>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</si>
  <si>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</si>
  <si>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</si>
  <si>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</si>
  <si>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</si>
  <si>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</si>
  <si>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</si>
  <si>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</si>
  <si>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</si>
  <si>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</si>
  <si>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</si>
  <si>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</si>
  <si>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</si>
  <si>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</si>
  <si>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</si>
  <si>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</si>
  <si>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</si>
  <si>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</si>
  <si>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</si>
  <si>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</si>
  <si>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</si>
  <si>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</si>
  <si>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</si>
  <si>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</si>
  <si>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</si>
  <si>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</si>
  <si>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</si>
  <si>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</si>
  <si>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</si>
  <si>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</si>
  <si>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</si>
  <si>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</si>
  <si>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</si>
  <si>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</si>
  <si>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</si>
  <si>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</si>
  <si>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</si>
  <si>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</si>
  <si>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</si>
  <si>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</si>
  <si>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</si>
  <si>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</si>
  <si>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</si>
  <si>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</si>
  <si>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</si>
  <si>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</si>
  <si>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</si>
  <si>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</si>
  <si>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</si>
  <si>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</si>
  <si>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</si>
  <si>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</si>
  <si>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</si>
  <si>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</si>
  <si>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</si>
  <si>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</si>
  <si>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</si>
  <si>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</si>
  <si>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</si>
  <si>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</si>
  <si>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</si>
  <si>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</si>
  <si>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</si>
  <si>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</si>
  <si>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</si>
  <si>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</si>
  <si>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</si>
  <si>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</si>
  <si>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</si>
  <si>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</si>
  <si>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</si>
  <si>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</si>
  <si>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</si>
  <si>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</si>
  <si>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</si>
  <si>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</si>
  <si>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</si>
  <si>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</si>
  <si>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</si>
  <si>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</si>
  <si>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</si>
  <si>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</si>
  <si>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</si>
  <si>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</si>
  <si>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</si>
  <si>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</si>
  <si>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</si>
  <si>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</si>
  <si>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</si>
  <si>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</si>
  <si>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</si>
  <si>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</si>
  <si>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</si>
  <si>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</si>
  <si>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</si>
  <si>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</si>
  <si>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</si>
  <si>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</si>
  <si>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</si>
  <si>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</si>
  <si>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</si>
  <si>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</si>
  <si>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</si>
  <si>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</si>
  <si>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</si>
  <si>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</si>
  <si>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</si>
  <si>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</si>
  <si>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</si>
  <si>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</si>
  <si>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</si>
  <si>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</si>
  <si>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</si>
  <si>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</si>
  <si>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</si>
  <si>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</si>
  <si>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</si>
  <si>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</si>
  <si>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</si>
  <si>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</si>
  <si>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</si>
  <si>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</si>
  <si>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</si>
  <si>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</si>
  <si>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</si>
  <si>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</si>
  <si>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</si>
  <si>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</si>
  <si>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</si>
  <si>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</si>
  <si>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</si>
  <si>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</si>
  <si>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</si>
  <si>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</si>
  <si>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</si>
  <si>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</si>
  <si>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</si>
  <si>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</si>
  <si>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</si>
  <si>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</si>
  <si>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</si>
  <si>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</si>
  <si>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</si>
  <si>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</si>
  <si>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</si>
  <si>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</si>
  <si>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</si>
  <si>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</si>
  <si>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</si>
  <si>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</si>
  <si>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</si>
  <si>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</si>
  <si>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</si>
  <si>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</si>
  <si>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</si>
  <si>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</si>
  <si>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</si>
  <si>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</si>
  <si>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</si>
  <si>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</si>
  <si>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</si>
  <si>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</si>
  <si>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</si>
  <si>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</si>
  <si>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</si>
  <si>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</si>
  <si>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</si>
  <si>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</si>
  <si>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</si>
  <si>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</si>
  <si>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</si>
  <si>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</si>
  <si>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</si>
  <si>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</si>
  <si>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</si>
  <si>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</si>
  <si>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</si>
  <si>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</si>
  <si>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</si>
  <si>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</si>
  <si>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</si>
  <si>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</si>
  <si>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</si>
  <si>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</si>
  <si>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</si>
  <si>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</si>
  <si>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</si>
  <si>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</si>
  <si>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</si>
  <si>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</si>
  <si>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</si>
  <si>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</si>
  <si>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</si>
  <si>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</si>
  <si>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</si>
  <si>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</si>
  <si>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</si>
  <si>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</si>
  <si>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</si>
  <si>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</si>
  <si>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</si>
  <si>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</si>
  <si>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</si>
  <si>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</si>
  <si>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</si>
  <si>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</si>
  <si>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</si>
  <si>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</si>
  <si>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</si>
  <si>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</si>
  <si>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</si>
  <si>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</si>
  <si>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</si>
  <si>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</si>
  <si>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</si>
  <si>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</si>
  <si>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</si>
  <si>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</si>
  <si>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</si>
  <si>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</si>
  <si>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</si>
  <si>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</si>
  <si>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</si>
  <si>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</si>
  <si>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</si>
  <si>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</si>
  <si>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</si>
  <si>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</si>
  <si>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</si>
  <si>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</si>
  <si>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</si>
  <si>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</si>
  <si>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</si>
  <si>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</si>
  <si>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</si>
  <si>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</si>
  <si>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</si>
  <si>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</si>
  <si>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</si>
  <si>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</si>
  <si>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</si>
  <si>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</si>
  <si>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</si>
  <si>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</si>
  <si>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</si>
  <si>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</si>
  <si>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</si>
  <si>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</si>
  <si>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</si>
  <si>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</si>
  <si>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</si>
  <si>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</si>
  <si>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</si>
  <si>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</si>
  <si>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</si>
  <si>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</si>
  <si>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</si>
  <si>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</si>
  <si>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</si>
  <si>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</si>
  <si>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</si>
  <si>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</si>
  <si>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</si>
  <si>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</si>
  <si>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</si>
  <si>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</si>
  <si>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</si>
  <si>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</si>
  <si>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</si>
  <si>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</si>
  <si>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</si>
  <si>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</si>
  <si>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</si>
  <si>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</si>
  <si>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</si>
  <si>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</si>
  <si>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</si>
  <si>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</si>
  <si>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</si>
  <si>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</si>
  <si>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</si>
  <si>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</si>
  <si>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</si>
  <si>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</si>
  <si>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</si>
  <si>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</si>
  <si>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</si>
  <si>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</si>
  <si>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</si>
  <si>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</si>
  <si>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</si>
  <si>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</si>
  <si>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</si>
  <si>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</si>
  <si>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</si>
  <si>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</si>
  <si>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</si>
  <si>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</si>
  <si>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</si>
  <si>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</si>
  <si>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</si>
  <si>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</si>
  <si>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</si>
  <si>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</si>
  <si>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</si>
  <si>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</si>
  <si>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</si>
  <si>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</si>
  <si>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</si>
  <si>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</si>
  <si>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</si>
  <si>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</si>
  <si>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</si>
  <si>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</si>
  <si>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</si>
  <si>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</si>
  <si>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</si>
  <si>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</si>
  <si>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</si>
  <si>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</si>
  <si>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</si>
  <si>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</si>
  <si>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</si>
  <si>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</si>
  <si>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</si>
  <si>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</si>
  <si>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</si>
  <si>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</si>
  <si>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</si>
  <si>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</si>
  <si>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</si>
  <si>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</si>
  <si>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</si>
  <si>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</si>
  <si>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</si>
  <si>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</si>
  <si>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</si>
  <si>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</si>
  <si>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</si>
  <si>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</si>
  <si>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</si>
  <si>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</si>
  <si>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</si>
  <si>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</si>
  <si>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</si>
  <si>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</si>
  <si>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</si>
  <si>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</si>
  <si>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</si>
  <si>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</si>
  <si>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</si>
  <si>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</si>
  <si>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</si>
  <si>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</si>
  <si>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</si>
  <si>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</si>
  <si>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</si>
  <si>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</si>
  <si>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</si>
  <si>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</si>
  <si>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</si>
  <si>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</si>
  <si>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</si>
  <si>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</si>
  <si>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</si>
  <si>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</si>
  <si>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</si>
  <si>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</si>
  <si>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</si>
  <si>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</si>
  <si>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</si>
  <si>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</si>
  <si>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</si>
  <si>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</si>
  <si>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</si>
  <si>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</si>
  <si>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</si>
  <si>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</si>
  <si>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</si>
  <si>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</si>
  <si>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</si>
  <si>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</si>
  <si>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</si>
  <si>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</si>
  <si>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</si>
  <si>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</si>
  <si>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</si>
  <si>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</si>
  <si>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</si>
  <si>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</si>
  <si>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</si>
  <si>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</si>
  <si>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</si>
  <si>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</si>
  <si>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</si>
  <si>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</si>
  <si>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</si>
  <si>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</si>
  <si>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</si>
  <si>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</si>
  <si>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</si>
  <si>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</si>
  <si>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</si>
  <si>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</si>
  <si>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</si>
  <si>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</si>
  <si>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</si>
  <si>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</si>
  <si>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</si>
  <si>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</si>
  <si>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</si>
  <si>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</si>
  <si>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</si>
  <si>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</si>
  <si>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</si>
  <si>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</si>
  <si>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</si>
  <si>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</si>
  <si>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</si>
  <si>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</si>
  <si>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</si>
  <si>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</si>
  <si>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</si>
  <si>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</si>
  <si>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</si>
  <si>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</si>
  <si>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</si>
  <si>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</si>
  <si>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</si>
  <si>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</si>
  <si>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</si>
  <si>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</si>
  <si>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</si>
  <si>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</si>
  <si>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</si>
  <si>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</si>
  <si>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</si>
  <si>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</si>
  <si>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</si>
  <si>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</si>
  <si>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</si>
  <si>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</si>
  <si>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</si>
  <si>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</si>
  <si>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</si>
  <si>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</si>
  <si>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</si>
  <si>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</si>
  <si>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</si>
  <si>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</si>
  <si>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</si>
  <si>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</si>
  <si>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</si>
  <si>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</si>
  <si>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</si>
  <si>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</si>
  <si>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</si>
  <si>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</si>
  <si>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</si>
  <si>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</si>
  <si>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</si>
  <si>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</si>
  <si>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</si>
  <si>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</si>
  <si>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</si>
  <si>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</si>
  <si>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</si>
  <si>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</si>
  <si>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</si>
  <si>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</si>
  <si>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</si>
  <si>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</si>
  <si>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</si>
  <si>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</si>
  <si>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</si>
  <si>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</si>
  <si>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</si>
  <si>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</si>
  <si>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</si>
  <si>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</si>
  <si>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</si>
  <si>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</si>
  <si>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</si>
  <si>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</si>
  <si>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</si>
  <si>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</si>
  <si>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</si>
  <si>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</si>
  <si>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</si>
  <si>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</si>
  <si>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</si>
  <si>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</si>
  <si>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</si>
  <si>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</si>
  <si>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</si>
  <si>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</si>
  <si>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</si>
  <si>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</si>
  <si>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</si>
  <si>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</si>
  <si>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</si>
  <si>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</si>
  <si>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</si>
  <si>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</si>
  <si>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</si>
  <si>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</si>
  <si>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</si>
  <si>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</si>
  <si>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</si>
  <si>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</si>
  <si>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</si>
  <si>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</si>
  <si>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</si>
  <si>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</si>
  <si>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</si>
  <si>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</si>
  <si>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</si>
  <si>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</si>
  <si>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</si>
  <si>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</si>
  <si>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</si>
  <si>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</si>
  <si>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</si>
  <si>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</si>
  <si>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</si>
  <si>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</si>
  <si>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</si>
  <si>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</si>
  <si>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</si>
  <si>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</si>
  <si>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</si>
  <si>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</si>
  <si>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</si>
  <si>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</si>
  <si>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</si>
  <si>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</si>
  <si>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</si>
  <si>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</si>
  <si>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</si>
  <si>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</si>
  <si>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</si>
  <si>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</si>
  <si>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</si>
  <si>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</si>
  <si>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</si>
  <si>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</si>
  <si>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</si>
  <si>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</si>
  <si>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</si>
  <si>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</si>
  <si>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</si>
  <si>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</si>
  <si>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</si>
  <si>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</si>
  <si>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</si>
  <si>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</si>
  <si>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</si>
  <si>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</si>
  <si>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</si>
  <si>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</si>
  <si>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</si>
  <si>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</si>
  <si>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</si>
  <si>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</si>
  <si>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</si>
  <si>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</si>
  <si>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</si>
  <si>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</si>
  <si>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</si>
  <si>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</si>
  <si>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</si>
  <si>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</si>
  <si>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</si>
  <si>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</si>
  <si>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</si>
  <si>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</si>
  <si>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</si>
  <si>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</si>
  <si>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</si>
  <si>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</si>
  <si>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</si>
  <si>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</si>
  <si>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</si>
  <si>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</si>
  <si>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</si>
  <si>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</si>
  <si>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</si>
  <si>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</si>
  <si>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</si>
  <si>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</si>
  <si>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</si>
  <si>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</si>
  <si>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</si>
  <si>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</si>
  <si>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</si>
  <si>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</si>
  <si>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</si>
  <si>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</si>
  <si>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</si>
  <si>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</si>
  <si>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</si>
  <si>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</si>
  <si>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</si>
  <si>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</si>
  <si>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</si>
  <si>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</si>
  <si>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</si>
  <si>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</si>
  <si>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</si>
  <si>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</si>
  <si>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</si>
  <si>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</si>
  <si>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</si>
  <si>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</si>
  <si>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</si>
  <si>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</si>
  <si>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</si>
  <si>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</si>
  <si>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</si>
  <si>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</si>
  <si>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</si>
  <si>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</si>
  <si>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</si>
  <si>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</si>
  <si>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</si>
  <si>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</si>
  <si>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</si>
  <si>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</si>
  <si>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</si>
  <si>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</si>
  <si>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</si>
  <si>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</si>
  <si>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</si>
  <si>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</si>
  <si>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</si>
  <si>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</si>
  <si>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</si>
  <si>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</si>
  <si>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</si>
  <si>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</si>
  <si>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</si>
  <si>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</si>
  <si>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</si>
  <si>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</si>
  <si>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</si>
  <si>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</si>
  <si>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</si>
  <si>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</si>
  <si>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</si>
  <si>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</si>
  <si>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</si>
  <si>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</si>
  <si>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</si>
  <si>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</si>
  <si>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</si>
  <si>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</si>
  <si>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</si>
  <si>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</si>
  <si>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</si>
  <si>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</si>
  <si>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</si>
  <si>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</si>
  <si>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</si>
  <si>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</si>
  <si>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</si>
  <si>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</si>
  <si>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</si>
  <si>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</si>
  <si>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</si>
  <si>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</si>
  <si>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</si>
  <si>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</si>
  <si>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</si>
  <si>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</si>
  <si>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</si>
  <si>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</si>
  <si>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</si>
  <si>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</si>
  <si>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</si>
  <si>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</si>
  <si>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</si>
  <si>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</si>
  <si>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</si>
  <si>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</si>
  <si>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</si>
  <si>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</si>
  <si>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</si>
  <si>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</si>
  <si>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</si>
  <si>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</si>
  <si>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</si>
  <si>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</si>
  <si>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</si>
  <si>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</si>
  <si>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</si>
  <si>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</si>
  <si>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</si>
  <si>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</si>
  <si>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</si>
  <si>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</si>
  <si>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</si>
  <si>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</si>
  <si>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</si>
  <si>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</si>
  <si>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</si>
  <si>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</si>
  <si>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</si>
  <si>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</si>
  <si>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</si>
  <si>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</si>
  <si>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</si>
  <si>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</si>
  <si>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</si>
  <si>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</si>
  <si>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</si>
  <si>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</si>
  <si>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</si>
  <si>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</si>
  <si>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</si>
  <si>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</si>
  <si>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</si>
  <si>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</si>
  <si>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</si>
  <si>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</si>
  <si>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</si>
  <si>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</si>
  <si>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</si>
  <si>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</si>
  <si>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</si>
  <si>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</si>
  <si>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</si>
  <si>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</si>
  <si>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</si>
  <si>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</si>
  <si>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</si>
  <si>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</si>
  <si>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</si>
  <si>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</si>
  <si>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</si>
  <si>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</si>
  <si>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</si>
  <si>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</si>
  <si>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</si>
  <si>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</si>
  <si>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</si>
  <si>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</si>
  <si>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</si>
  <si>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</si>
  <si>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</si>
  <si>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</si>
  <si>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</si>
  <si>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</si>
  <si>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</si>
  <si>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</si>
  <si>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</si>
  <si>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</si>
  <si>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</si>
  <si>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</si>
  <si>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</si>
  <si>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</si>
  <si>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</si>
  <si>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</si>
  <si>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</si>
  <si>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</si>
  <si>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</si>
  <si>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</si>
  <si>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</si>
  <si>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</si>
  <si>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</si>
  <si>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</si>
  <si>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</si>
  <si>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</si>
  <si>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</si>
  <si>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</si>
  <si>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</si>
  <si>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</si>
  <si>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</si>
  <si>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</si>
  <si>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</si>
  <si>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</si>
  <si>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</si>
  <si>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</si>
  <si>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</si>
  <si>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</si>
  <si>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</si>
  <si>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</si>
  <si>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</si>
  <si>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</si>
  <si>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</si>
  <si>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</si>
  <si>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</si>
  <si>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</si>
  <si>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</si>
  <si>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</si>
  <si>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</si>
  <si>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</si>
  <si>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</si>
  <si>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</si>
  <si>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</si>
  <si>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</si>
  <si>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</si>
  <si>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</si>
  <si>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</si>
  <si>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</si>
  <si>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</si>
  <si>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</si>
  <si>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</si>
  <si>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</si>
  <si>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</si>
  <si>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</si>
  <si>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</si>
  <si>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</si>
  <si>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</si>
  <si>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</si>
  <si>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</si>
  <si>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</si>
  <si>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</si>
  <si>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</si>
  <si>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</si>
  <si>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</si>
  <si>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</si>
  <si>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</si>
  <si>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</si>
  <si>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</si>
  <si>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</si>
  <si>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</si>
  <si>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</si>
  <si>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</si>
  <si>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</si>
  <si>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</si>
  <si>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</si>
  <si>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</si>
  <si>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</si>
  <si>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</si>
  <si>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</si>
  <si>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</si>
  <si>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</si>
  <si>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</si>
  <si>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</si>
  <si>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</si>
  <si>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</si>
  <si>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</si>
  <si>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</si>
  <si>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</si>
  <si>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</si>
  <si>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</si>
  <si>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</si>
  <si>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</si>
  <si>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</si>
  <si>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</si>
  <si>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</si>
  <si>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</si>
  <si>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</si>
  <si>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</si>
  <si>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</si>
  <si>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</si>
  <si>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</si>
  <si>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</si>
  <si>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</si>
  <si>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</si>
  <si>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</si>
  <si>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</si>
  <si>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</si>
  <si>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</si>
  <si>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</si>
  <si>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</si>
  <si>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</si>
  <si>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</si>
  <si>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</si>
  <si>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</si>
  <si>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</si>
  <si>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</si>
  <si>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</si>
  <si>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</si>
  <si>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</si>
  <si>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</si>
  <si>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</si>
  <si>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</si>
  <si>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</si>
  <si>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</si>
  <si>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</si>
  <si>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</si>
  <si>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</si>
  <si>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</si>
  <si>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</si>
  <si>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</si>
  <si>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</si>
  <si>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</si>
  <si>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</si>
  <si>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</si>
  <si>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</si>
  <si>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</si>
  <si>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</si>
  <si>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</si>
  <si>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</si>
  <si>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</si>
  <si>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</si>
  <si>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</si>
  <si>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</si>
  <si>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</si>
  <si>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</si>
  <si>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</si>
  <si>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</si>
  <si>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</si>
  <si>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</si>
  <si>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</si>
  <si>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</si>
  <si>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</si>
  <si>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</si>
  <si>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</si>
  <si>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</si>
  <si>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</si>
  <si>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</si>
  <si>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</si>
  <si>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</si>
  <si>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</si>
  <si>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</si>
  <si>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</si>
  <si>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</si>
  <si>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</si>
  <si>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</si>
  <si>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</si>
  <si>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</si>
  <si>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</si>
  <si>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</si>
  <si>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</si>
  <si>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</si>
  <si>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</si>
  <si>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</si>
  <si>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</si>
  <si>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</si>
  <si>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</si>
  <si>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</si>
  <si>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</si>
  <si>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</si>
  <si>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</si>
  <si>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</si>
  <si>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</si>
  <si>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</si>
  <si>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</si>
  <si>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</si>
  <si>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</si>
  <si>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</si>
  <si>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</si>
  <si>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</si>
  <si>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</si>
  <si>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</si>
  <si>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</si>
  <si>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</si>
  <si>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</si>
  <si>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</si>
  <si>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</si>
  <si>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</si>
  <si>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</si>
  <si>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</si>
  <si>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</si>
  <si>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</si>
  <si>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</si>
  <si>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</si>
  <si>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</si>
  <si>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</si>
  <si>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</si>
  <si>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</si>
  <si>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</si>
  <si>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</si>
  <si>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</si>
  <si>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</si>
  <si>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</si>
  <si>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</si>
  <si>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</si>
  <si>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</si>
  <si>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</si>
  <si>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</si>
  <si>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</si>
  <si>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</si>
  <si>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</si>
  <si>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</si>
  <si>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</si>
  <si>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</si>
  <si>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</si>
  <si>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</si>
  <si>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</si>
  <si>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</si>
  <si>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</si>
  <si>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</si>
  <si>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</si>
  <si>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</si>
  <si>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</si>
  <si>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</si>
  <si>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</si>
  <si>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</si>
  <si>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</si>
  <si>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</si>
  <si>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</si>
  <si>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</si>
  <si>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</si>
  <si>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</si>
  <si>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</si>
  <si>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</si>
  <si>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</si>
  <si>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</si>
  <si>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</si>
  <si>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</si>
  <si>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</si>
  <si>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</si>
  <si>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</si>
  <si>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</si>
  <si>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</si>
  <si>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</si>
  <si>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</si>
  <si>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</si>
  <si>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</si>
  <si>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</si>
  <si>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</si>
  <si>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</si>
  <si>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</si>
  <si>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</si>
  <si>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</si>
  <si>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</si>
  <si>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</si>
  <si>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</si>
  <si>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</si>
  <si>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</si>
  <si>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</si>
  <si>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</si>
  <si>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</si>
  <si>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</si>
  <si>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</si>
  <si>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</si>
  <si>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</si>
  <si>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</si>
  <si>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</si>
  <si>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</si>
  <si>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</si>
  <si>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</si>
  <si>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</si>
  <si>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</si>
  <si>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</si>
  <si>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</si>
  <si>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</si>
  <si>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</si>
  <si>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</si>
  <si>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</si>
  <si>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</si>
  <si>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</si>
  <si>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</si>
  <si>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</si>
  <si>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</si>
  <si>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</si>
  <si>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</si>
  <si>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</si>
  <si>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</si>
  <si>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</si>
  <si>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</si>
  <si>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</si>
  <si>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</si>
  <si>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</si>
  <si>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</si>
  <si>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</si>
  <si>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</si>
  <si>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</si>
  <si>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</si>
  <si>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</si>
  <si>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</si>
  <si>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</si>
  <si>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</si>
  <si>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</si>
  <si>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</si>
  <si>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</si>
  <si>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</si>
  <si>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</si>
  <si>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</si>
  <si>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</si>
  <si>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</si>
  <si>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</si>
  <si>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</si>
  <si>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</si>
  <si>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</si>
  <si>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</si>
  <si>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</si>
  <si>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</si>
  <si>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</si>
  <si>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</si>
  <si>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</si>
  <si>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</si>
  <si>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</si>
  <si>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</si>
  <si>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</si>
  <si>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</si>
  <si>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</si>
  <si>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</si>
  <si>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</si>
  <si>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</si>
  <si>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</si>
  <si>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</si>
  <si>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</si>
  <si>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</si>
  <si>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</si>
  <si>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</si>
  <si>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</si>
  <si>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</si>
  <si>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</si>
  <si>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</si>
  <si>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</si>
  <si>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</si>
  <si>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</si>
  <si>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</si>
  <si>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</si>
  <si>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</si>
  <si>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</si>
  <si>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</si>
  <si>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</si>
  <si>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</si>
  <si>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</si>
  <si>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</si>
  <si>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</si>
  <si>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</si>
  <si>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</si>
  <si>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</si>
  <si>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</si>
  <si>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</si>
  <si>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</si>
  <si>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</si>
  <si>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</si>
  <si>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</si>
  <si>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</si>
  <si>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</si>
  <si>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</si>
  <si>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</si>
  <si>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</si>
  <si>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</si>
  <si>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</si>
  <si>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</si>
  <si>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</si>
  <si>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</si>
  <si>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</si>
  <si>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</si>
  <si>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</si>
  <si>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</si>
  <si>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</si>
  <si>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</si>
  <si>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</si>
  <si>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</si>
  <si>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</si>
  <si>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</si>
  <si>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</si>
  <si>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</si>
  <si>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</si>
  <si>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</si>
  <si>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</si>
  <si>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</si>
  <si>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</si>
  <si>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</si>
  <si>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</si>
  <si>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</si>
  <si>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</si>
  <si>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</si>
  <si>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</si>
  <si>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</si>
  <si>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</si>
  <si>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</si>
  <si>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</si>
  <si>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</si>
  <si>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</si>
  <si>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</si>
  <si>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</si>
  <si>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</si>
  <si>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</si>
  <si>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</si>
  <si>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</si>
  <si>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</si>
  <si>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</si>
  <si>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</si>
  <si>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</si>
  <si>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</si>
  <si>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</si>
  <si>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</si>
  <si>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</si>
  <si>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</si>
  <si>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</si>
  <si>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</si>
  <si>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</si>
  <si>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</si>
  <si>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</si>
  <si>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</si>
  <si>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</si>
  <si>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</si>
  <si>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</si>
  <si>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</si>
  <si>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</si>
  <si>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</si>
  <si>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</si>
  <si>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</si>
  <si>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</si>
  <si>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</si>
  <si>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</si>
  <si>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</si>
  <si>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</si>
  <si>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</si>
  <si>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</si>
  <si>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</si>
  <si>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</si>
  <si>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</si>
  <si>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</si>
  <si>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</si>
  <si>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</si>
  <si>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</si>
  <si>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</si>
  <si>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</si>
  <si>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</si>
  <si>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</si>
  <si>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</si>
  <si>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</si>
  <si>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</si>
  <si>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</si>
  <si>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</si>
  <si>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</si>
  <si>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</si>
  <si>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</si>
  <si>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</si>
  <si>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</si>
  <si>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</si>
  <si>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</si>
  <si>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</si>
  <si>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</si>
  <si>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</si>
  <si>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</si>
  <si>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</si>
  <si>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</si>
  <si>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</si>
  <si>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</si>
  <si>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</si>
  <si>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</si>
  <si>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</si>
  <si>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</si>
  <si>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</si>
  <si>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</si>
  <si>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</si>
  <si>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</si>
  <si>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</si>
  <si>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</si>
  <si>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</si>
  <si>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</si>
  <si>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</si>
  <si>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</si>
  <si>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</si>
  <si>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</si>
  <si>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</si>
  <si>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</si>
  <si>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</si>
  <si>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</si>
  <si>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</si>
  <si>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</si>
  <si>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</si>
  <si>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</si>
  <si>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</si>
  <si>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</si>
  <si>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</si>
  <si>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</si>
  <si>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</si>
  <si>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</si>
  <si>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</si>
  <si>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</si>
  <si>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</si>
  <si>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</si>
  <si>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</si>
  <si>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</si>
  <si>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</si>
  <si>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</si>
  <si>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</si>
  <si>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</si>
  <si>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</si>
  <si>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</si>
  <si>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</si>
  <si>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</si>
  <si>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</si>
  <si>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</si>
  <si>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</si>
  <si>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</si>
  <si>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</si>
  <si>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</si>
  <si>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</si>
  <si>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</si>
  <si>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</si>
  <si>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</si>
  <si>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</si>
  <si>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</si>
  <si>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</si>
  <si>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</si>
  <si>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</si>
  <si>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</si>
  <si>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</si>
  <si>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</si>
  <si>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</si>
  <si>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</si>
  <si>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</si>
  <si>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</si>
  <si>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</si>
  <si>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</si>
  <si>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</si>
  <si>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</si>
  <si>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</si>
  <si>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</si>
  <si>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</si>
  <si>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</si>
  <si>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</si>
  <si>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</si>
  <si>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</si>
  <si>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</si>
  <si>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</si>
  <si>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</si>
  <si>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</si>
  <si>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</si>
  <si>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</si>
  <si>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</si>
  <si>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</si>
  <si>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</si>
  <si>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</si>
  <si>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</si>
  <si>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</si>
  <si>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</si>
  <si>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</si>
  <si>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</si>
  <si>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</si>
  <si>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</si>
  <si>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</si>
  <si>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</si>
  <si>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</si>
  <si>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</si>
  <si>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</si>
  <si>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</si>
  <si>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</si>
  <si>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</si>
  <si>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</si>
  <si>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</si>
  <si>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</si>
  <si>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</si>
  <si>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</si>
  <si>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</si>
  <si>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</si>
  <si>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</si>
  <si>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</si>
  <si>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</si>
  <si>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</si>
  <si>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</si>
  <si>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</si>
  <si>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</si>
  <si>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</si>
  <si>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</si>
  <si>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</si>
  <si>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</si>
  <si>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</si>
  <si>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</si>
  <si>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</si>
  <si>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</si>
  <si>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</si>
  <si>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</si>
  <si>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</si>
  <si>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</si>
  <si>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</si>
  <si>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</si>
  <si>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</si>
  <si>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</si>
  <si>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</si>
  <si>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</si>
  <si>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</si>
  <si>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</si>
  <si>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</si>
  <si>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</si>
  <si>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</si>
  <si>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</si>
  <si>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</si>
  <si>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</si>
  <si>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</si>
  <si>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</si>
  <si>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</si>
  <si>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</si>
  <si>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</si>
  <si>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</si>
  <si>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</si>
  <si>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</si>
  <si>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</si>
  <si>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</si>
  <si>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</si>
  <si>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</si>
  <si>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</si>
  <si>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</si>
  <si>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</si>
  <si>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</si>
  <si>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</si>
  <si>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</si>
  <si>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</si>
  <si>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</si>
  <si>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</si>
  <si>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</si>
  <si>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</si>
  <si>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</si>
  <si>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</si>
  <si>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</si>
  <si>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</si>
  <si>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</si>
  <si>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</si>
  <si>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</si>
  <si>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</si>
  <si>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</si>
  <si>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</si>
  <si>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</si>
  <si>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</si>
  <si>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</si>
  <si>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</si>
  <si>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</si>
  <si>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</si>
  <si>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</si>
  <si>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</si>
  <si>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</si>
  <si>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</si>
  <si>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</si>
  <si>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</si>
  <si>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</si>
  <si>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</si>
  <si>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</si>
  <si>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</si>
  <si>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</si>
  <si>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</si>
  <si>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</si>
  <si>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</si>
  <si>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</si>
  <si>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</si>
  <si>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</si>
  <si>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</si>
  <si>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</si>
  <si>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</si>
  <si>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</si>
  <si>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</si>
  <si>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</si>
  <si>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</si>
  <si>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</si>
  <si>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</si>
  <si>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</si>
  <si>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</si>
  <si>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</si>
  <si>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</si>
  <si>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</si>
  <si>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</si>
  <si>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</si>
  <si>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</si>
  <si>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</si>
  <si>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</si>
  <si>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</si>
  <si>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</si>
  <si>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</si>
  <si>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</si>
  <si>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</si>
  <si>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</si>
  <si>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</si>
  <si>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</si>
  <si>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</si>
  <si>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</si>
  <si>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</si>
  <si>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</si>
  <si>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</si>
  <si>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</si>
  <si>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</si>
  <si>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</si>
  <si>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</si>
  <si>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</si>
  <si>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</si>
  <si>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</si>
  <si>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</si>
  <si>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</si>
  <si>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</si>
  <si>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</si>
  <si>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</si>
  <si>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</si>
  <si>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</si>
  <si>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</si>
  <si>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</si>
  <si>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</si>
  <si>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</si>
  <si>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</si>
  <si>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</si>
  <si>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</si>
  <si>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</si>
  <si>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</si>
  <si>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</si>
  <si>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</si>
  <si>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</si>
  <si>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</si>
  <si>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</si>
  <si>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</si>
  <si>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</si>
  <si>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</si>
  <si>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</si>
  <si>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</si>
  <si>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</si>
  <si>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</si>
  <si>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</si>
  <si>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</si>
  <si>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</si>
  <si>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</si>
  <si>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</si>
  <si>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</si>
  <si>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</si>
  <si>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</si>
  <si>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</si>
  <si>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</si>
  <si>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</si>
  <si>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</si>
  <si>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</si>
  <si>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</si>
  <si>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</si>
  <si>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</si>
  <si>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</si>
  <si>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</si>
  <si>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</si>
  <si>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</si>
  <si>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</si>
  <si>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</si>
  <si>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</si>
  <si>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</si>
  <si>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</si>
  <si>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</si>
  <si>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</si>
  <si>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</si>
  <si>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</si>
  <si>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</si>
  <si>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</si>
  <si>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</si>
  <si>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</si>
  <si>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</si>
  <si>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</si>
  <si>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</si>
  <si>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</si>
  <si>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</si>
  <si>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</si>
  <si>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</si>
  <si>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</si>
  <si>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</si>
  <si>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</si>
  <si>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</si>
  <si>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</si>
  <si>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</si>
  <si>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</si>
  <si>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</si>
  <si>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</si>
  <si>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</si>
  <si>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</si>
  <si>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</si>
  <si>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</si>
  <si>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</si>
  <si>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</si>
  <si>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</si>
  <si>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</si>
  <si>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</si>
  <si>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</si>
  <si>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</si>
  <si>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</si>
  <si>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</si>
  <si>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</si>
  <si>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</si>
  <si>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</si>
  <si>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</si>
  <si>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</si>
  <si>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</si>
  <si>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</si>
  <si>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</si>
  <si>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</si>
  <si>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</si>
  <si>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</si>
  <si>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</si>
  <si>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</si>
  <si>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</si>
  <si>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</si>
  <si>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</si>
  <si>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</si>
  <si>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</si>
  <si>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</si>
  <si>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</si>
  <si>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</si>
  <si>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</si>
  <si>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</si>
  <si>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</si>
  <si>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</si>
  <si>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</si>
  <si>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</si>
  <si>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</si>
  <si>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</si>
  <si>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</si>
  <si>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</si>
  <si>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</si>
  <si>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</si>
  <si>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</si>
  <si>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</si>
  <si>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</si>
  <si>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</si>
  <si>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</si>
  <si>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</si>
  <si>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</si>
  <si>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</si>
  <si>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</si>
  <si>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</si>
  <si>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</si>
  <si>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</si>
  <si>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</si>
  <si>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</si>
  <si>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</si>
  <si>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</si>
  <si>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</si>
  <si>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</si>
  <si>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</si>
  <si>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</si>
  <si>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</si>
  <si>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</si>
  <si>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</si>
  <si>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</si>
  <si>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</si>
  <si>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</si>
  <si>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</si>
  <si>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</si>
  <si>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</si>
  <si>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</si>
  <si>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</si>
  <si>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</si>
  <si>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</si>
  <si>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</si>
  <si>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</si>
  <si>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</si>
  <si>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</si>
  <si>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</si>
  <si>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</si>
  <si>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</si>
  <si>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</si>
  <si>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</si>
  <si>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</si>
  <si>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</si>
  <si>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</si>
  <si>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</si>
  <si>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</si>
  <si>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</si>
  <si>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</si>
  <si>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</si>
  <si>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</si>
  <si>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</si>
  <si>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</si>
  <si>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</si>
  <si>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</si>
  <si>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</si>
  <si>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</si>
  <si>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</si>
  <si>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</si>
  <si>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</si>
  <si>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</si>
  <si>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</si>
  <si>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</si>
  <si>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</si>
  <si>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</si>
  <si>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</si>
  <si>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</si>
  <si>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</si>
  <si>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</si>
  <si>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</si>
  <si>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</si>
  <si>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</si>
  <si>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</si>
  <si>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</si>
  <si>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</si>
  <si>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</si>
  <si>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</si>
  <si>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</si>
  <si>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</si>
  <si>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</si>
  <si>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</si>
  <si>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</si>
  <si>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</si>
  <si>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</si>
  <si>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</si>
  <si>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</si>
  <si>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</si>
  <si>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</si>
  <si>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</si>
  <si>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</si>
  <si>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</si>
  <si>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</si>
  <si>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</si>
  <si>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</si>
  <si>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</si>
  <si>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</si>
  <si>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</si>
  <si>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</si>
  <si>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</si>
  <si>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</si>
  <si>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</si>
  <si>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</si>
  <si>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</si>
  <si>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</si>
  <si>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</si>
  <si>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</si>
  <si>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</si>
  <si>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</si>
  <si>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</si>
  <si>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</si>
  <si>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</si>
  <si>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</si>
  <si>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</si>
  <si>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</si>
  <si>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</si>
  <si>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</si>
  <si>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</si>
  <si>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</si>
  <si>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</si>
  <si>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</si>
  <si>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</si>
  <si>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</si>
  <si>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</si>
  <si>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</si>
  <si>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</si>
  <si>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</si>
  <si>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</si>
  <si>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</si>
  <si>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</si>
  <si>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</si>
  <si>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</si>
  <si>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</si>
  <si>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</si>
  <si>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</si>
  <si>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</si>
  <si>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</si>
  <si>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</si>
  <si>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</si>
  <si>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</si>
  <si>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</si>
  <si>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</si>
  <si>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</si>
  <si>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</si>
  <si>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</si>
  <si>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</si>
  <si>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</si>
  <si>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</si>
  <si>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</si>
  <si>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</si>
  <si>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</si>
  <si>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</si>
  <si>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</si>
  <si>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</si>
  <si>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</si>
  <si>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</si>
  <si>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</si>
  <si>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</si>
  <si>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</si>
  <si>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</si>
  <si>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</si>
  <si>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</si>
  <si>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</si>
  <si>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</si>
  <si>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</si>
  <si>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</si>
  <si>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</si>
  <si>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</si>
  <si>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</si>
  <si>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</si>
  <si>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</si>
  <si>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</si>
  <si>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</si>
  <si>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</si>
  <si>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</si>
  <si>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</si>
  <si>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</si>
  <si>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</si>
  <si>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</si>
  <si>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</si>
  <si>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</si>
  <si>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</si>
  <si>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</si>
  <si>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</si>
  <si>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</si>
  <si>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</si>
  <si>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</si>
  <si>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</si>
  <si>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</si>
  <si>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</si>
  <si>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</si>
  <si>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</si>
  <si>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</si>
  <si>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</si>
  <si>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</si>
  <si>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</si>
  <si>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</si>
  <si>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</si>
  <si>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</si>
  <si>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</si>
  <si>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</si>
  <si>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</si>
  <si>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</si>
  <si>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</si>
  <si>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</si>
  <si>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</si>
  <si>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</si>
  <si>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</si>
  <si>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</si>
  <si>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</si>
  <si>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</si>
  <si>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</si>
  <si>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</si>
  <si>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</si>
  <si>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</si>
  <si>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</si>
  <si>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</si>
  <si>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</si>
  <si>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</si>
  <si>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</si>
  <si>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</si>
  <si>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</si>
  <si>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</si>
  <si>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</si>
  <si>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</si>
  <si>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</si>
  <si>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</si>
  <si>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</si>
  <si>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</si>
  <si>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</si>
  <si>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</si>
  <si>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</si>
  <si>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</si>
  <si>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</si>
  <si>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</si>
  <si>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</si>
  <si>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</si>
  <si>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</si>
  <si>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</si>
  <si>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</si>
  <si>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</si>
  <si>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</si>
  <si>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</si>
  <si>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</si>
  <si>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</si>
  <si>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</si>
  <si>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</si>
  <si>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</si>
  <si>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</si>
  <si>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</si>
  <si>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</si>
  <si>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</si>
  <si>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</si>
  <si>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</si>
  <si>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</si>
  <si>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</si>
  <si>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</si>
  <si>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</si>
  <si>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</si>
  <si>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</si>
  <si>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</si>
  <si>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</si>
  <si>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</si>
  <si>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</si>
  <si>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</si>
  <si>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</si>
  <si>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</si>
  <si>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</si>
  <si>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</si>
  <si>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</si>
  <si>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</si>
  <si>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</si>
  <si>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</si>
  <si>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</si>
  <si>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</si>
  <si>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</si>
  <si>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</si>
  <si>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</si>
  <si>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</si>
  <si>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</si>
  <si>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</si>
  <si>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</si>
  <si>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</si>
  <si>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</si>
  <si>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</si>
  <si>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</si>
  <si>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</si>
  <si>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</si>
  <si>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</si>
  <si>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</si>
  <si>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</si>
  <si>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</si>
  <si>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</si>
  <si>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</si>
  <si>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</si>
  <si>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</si>
  <si>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</si>
  <si>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</si>
  <si>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Vista Del Roble Phase II</t>
  </si>
  <si>
    <t>310 West Main Street</t>
  </si>
  <si>
    <t>Woodland</t>
  </si>
  <si>
    <t>City of Woodland</t>
  </si>
  <si>
    <t>300 1st Street</t>
  </si>
  <si>
    <t>530-661-5802</t>
  </si>
  <si>
    <t>530-406-0832</t>
  </si>
  <si>
    <t>064-170-053-000</t>
  </si>
  <si>
    <t>40%/60%</t>
  </si>
  <si>
    <t>6339 Paseo Del Lago</t>
  </si>
  <si>
    <t>Carlsbad</t>
  </si>
  <si>
    <t>CA</t>
  </si>
  <si>
    <t>Cheri Hoffman</t>
  </si>
  <si>
    <t>760-456-6000</t>
  </si>
  <si>
    <t>760-456-6001</t>
  </si>
  <si>
    <t>cherihoffman@chelseainvestco.com</t>
  </si>
  <si>
    <t>Chelsea Investment Corporation</t>
  </si>
  <si>
    <t>Pacific Southwest Community Development Corporation</t>
  </si>
  <si>
    <t>Managing GP</t>
  </si>
  <si>
    <t>16935 West Bernardo Drive, Suite #238</t>
  </si>
  <si>
    <t>Robert Laing</t>
  </si>
  <si>
    <t>858-675-0506</t>
  </si>
  <si>
    <t>858-675-0702</t>
  </si>
  <si>
    <t>CIC VDR II, LLC</t>
  </si>
  <si>
    <t>Administrative GP</t>
  </si>
  <si>
    <t>cherihoffmn@chelseainvestco.com</t>
  </si>
  <si>
    <t>Developer</t>
  </si>
  <si>
    <t>6339 Paseo del Lago</t>
  </si>
  <si>
    <t>Carlsbad, CA, 92011</t>
  </si>
  <si>
    <t>The Mckinley Associates, Inc.</t>
  </si>
  <si>
    <t>1818 First Avenue</t>
  </si>
  <si>
    <t>San Diego, CA 92101</t>
  </si>
  <si>
    <t>Mark Longstaff</t>
  </si>
  <si>
    <t>619-238-1134</t>
  </si>
  <si>
    <t>mlongstaff@themckinleyassociates.com</t>
  </si>
  <si>
    <t>Cox, Castle &amp; Nicholson</t>
  </si>
  <si>
    <t>555 California St, 10th Fl</t>
  </si>
  <si>
    <t>San Francisco, CA, 94104</t>
  </si>
  <si>
    <t>Ofer Elitzur</t>
  </si>
  <si>
    <t>415-262-5165</t>
  </si>
  <si>
    <t>oelitzur@coxcastle.com</t>
  </si>
  <si>
    <t xml:space="preserve">Emmerson Construction, Inc. </t>
  </si>
  <si>
    <t>Carlsbad, CA 92011</t>
  </si>
  <si>
    <t>Rob Campbell</t>
  </si>
  <si>
    <t>760-456-6020</t>
  </si>
  <si>
    <t>rcampbell@emmersonconstruction.com</t>
  </si>
  <si>
    <t>Odu &amp; Associates, PC</t>
  </si>
  <si>
    <t>31805 Temecula Parkway #720</t>
  </si>
  <si>
    <t>Temecula, CA 92592</t>
  </si>
  <si>
    <t xml:space="preserve">Nkechi Odu, Esq. </t>
  </si>
  <si>
    <t>(951) 215-6212</t>
  </si>
  <si>
    <t>nkechi@odulaw.com</t>
  </si>
  <si>
    <t>Novogradac &amp; Company LLP</t>
  </si>
  <si>
    <t>211 E Ocean Blvd., 6th Fl</t>
  </si>
  <si>
    <t>Long Beach</t>
  </si>
  <si>
    <t>Natalie Chavez</t>
  </si>
  <si>
    <t>natalie.chavez@novoco.com</t>
  </si>
  <si>
    <t>Kinetic Valuation Group</t>
  </si>
  <si>
    <t>3901 S. 147th Street, Suite 144</t>
  </si>
  <si>
    <t>Omaha, NE, 68144</t>
  </si>
  <si>
    <t>Jay A. Wortmann</t>
  </si>
  <si>
    <t>402-202-0771</t>
  </si>
  <si>
    <t>jay@kvgteam.com</t>
  </si>
  <si>
    <t>California Municipal Finance Authority</t>
  </si>
  <si>
    <t>2111 Palomar Airport Rd, Suite 230</t>
  </si>
  <si>
    <t>Benjamin Barker</t>
  </si>
  <si>
    <t>760-930-1266</t>
  </si>
  <si>
    <t>bbarker@cmfa-ca.com</t>
  </si>
  <si>
    <t>ConAm Management Corporation</t>
  </si>
  <si>
    <t>3990 Ruffin Rd, #100</t>
  </si>
  <si>
    <t>San Diego, CA 92123</t>
  </si>
  <si>
    <t>Grace Austin</t>
  </si>
  <si>
    <t xml:space="preserve">gaustin@conam.com </t>
  </si>
  <si>
    <t>858-614-7241</t>
  </si>
  <si>
    <t>Other (Specify below)</t>
  </si>
  <si>
    <t>3-story garden style walk up</t>
  </si>
  <si>
    <t>CMU West Main (Mixed Use)</t>
  </si>
  <si>
    <t>40 DUs per acre</t>
  </si>
  <si>
    <t>50'</t>
  </si>
  <si>
    <t>1bd = 1 space, 2bd = 1.5 spaces, 3bd = 2 spaces</t>
  </si>
  <si>
    <t>City of Woodland Loan</t>
  </si>
  <si>
    <t>Air Conditioning</t>
  </si>
  <si>
    <t>Yolo County Housing Authority</t>
  </si>
  <si>
    <t>Mr. Ken Hiatt</t>
  </si>
  <si>
    <t>ken.hiatt@cityofwoodland.gov</t>
  </si>
  <si>
    <t>robertlaing@pswcdc.org</t>
  </si>
  <si>
    <t>Michael Cates</t>
  </si>
  <si>
    <t>mcates@chelseainvestco.com</t>
  </si>
  <si>
    <t>Ken Hiatt</t>
  </si>
  <si>
    <t>300 First Street, Woodland, CA 95695</t>
  </si>
  <si>
    <t>City of Woodland Seller Note</t>
  </si>
  <si>
    <t>CIC Opportunities Fund V/Sub TE bond</t>
  </si>
  <si>
    <t>Variable</t>
  </si>
  <si>
    <t>Deferred Costs, Interest, and Fees during Construction</t>
  </si>
  <si>
    <t>Seller Note</t>
  </si>
  <si>
    <t>Woodland, CA 95695</t>
  </si>
  <si>
    <t>300 First Street</t>
  </si>
  <si>
    <t xml:space="preserve">Residual Receipts </t>
  </si>
  <si>
    <t>Defered Costs and Fees</t>
  </si>
  <si>
    <t>Solar Equity</t>
  </si>
  <si>
    <t>RR loans accrued interest</t>
  </si>
  <si>
    <t>Deferred Developer Fees</t>
  </si>
  <si>
    <t>Residual Receipts</t>
  </si>
  <si>
    <t>Residual Receipts Junior Loan</t>
  </si>
  <si>
    <t>Application fee, Late fee, etc.</t>
  </si>
  <si>
    <t>Equip, software, supplies, etc.</t>
  </si>
  <si>
    <t>Taxes, Benefits, Etc.</t>
  </si>
  <si>
    <t>Supplies, appliances, equip, etc.</t>
  </si>
  <si>
    <t>City of Woodland Note/Loan</t>
  </si>
  <si>
    <t>Other: Lender reports &amp; inspections</t>
  </si>
  <si>
    <t>Other: (Site Security)</t>
  </si>
  <si>
    <t>Other: (Issuer Fee)</t>
  </si>
  <si>
    <t>Other: (Preconstruction Studies)</t>
  </si>
  <si>
    <t>Other: (Entitlement Services)</t>
  </si>
  <si>
    <t xml:space="preserve">Pacific Southwest Community Development Corporation </t>
  </si>
  <si>
    <t>Provided</t>
  </si>
  <si>
    <t>Not Applicable</t>
  </si>
  <si>
    <t>300 South Grand Ave, Suite 3110</t>
  </si>
  <si>
    <t>Los Angeles, CA 90071</t>
  </si>
  <si>
    <t>Hao Li</t>
  </si>
  <si>
    <t>Tax-Exempt Perm Loan</t>
  </si>
  <si>
    <t>City of Woodland Promissory Note</t>
  </si>
  <si>
    <t>(213) 239-1914</t>
  </si>
  <si>
    <t>Construction Loan</t>
  </si>
  <si>
    <t>SOFR</t>
  </si>
  <si>
    <t>Richman Group Federal LIHTC Equity</t>
  </si>
  <si>
    <t>Richman Group State LIHTC Equity</t>
  </si>
  <si>
    <t>Terry Gentry</t>
  </si>
  <si>
    <t>LIHTC Equity</t>
  </si>
  <si>
    <t>707 SW Washington St, Suite 1510</t>
  </si>
  <si>
    <t>Portland, OR 97205</t>
  </si>
  <si>
    <t>Citi Community Capital-Tax Exempt</t>
  </si>
  <si>
    <t>Citi Community Capital- Recycled Bonds</t>
  </si>
  <si>
    <t>Citi Community Capital-Taxable Bonds</t>
  </si>
  <si>
    <t>Citi Community Capital</t>
  </si>
  <si>
    <t>Below residual receipts line for cash flow</t>
  </si>
  <si>
    <t>Richman Group</t>
  </si>
  <si>
    <t>gentryt@richmancapital.com</t>
  </si>
  <si>
    <t>May</t>
  </si>
  <si>
    <t>Robert W. Laing</t>
  </si>
  <si>
    <t>President/Executive Director</t>
  </si>
  <si>
    <t>Other: (GP Service Fee)</t>
  </si>
  <si>
    <t>CIC Opportunities Fund 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</si>
</sst>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1" xfId="0" applyNumberFormat="1" applyFont="1" applyFill="1" applyBorder="1" applyAlignment="1" applyProtection="1">
      <alignment horizontal="right"/>
      <protection locked="0"/>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9" fontId="0" fillId="43" borderId="6"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5" sqref="H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1586</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23197820</v>
      </c>
      <c r="I3" s="1105"/>
    </row>
    <row r="4" spans="1:13" s="1051" customFormat="1" ht="20.100000000000001" customHeight="1">
      <c r="B4" s="1094"/>
      <c r="D4" s="1108"/>
      <c r="F4" s="1092" t="s">
        <v>1993</v>
      </c>
      <c r="G4" s="1091" t="s">
        <v>1992</v>
      </c>
      <c r="H4" s="1093">
        <f>I18</f>
        <v>32090797.12009804</v>
      </c>
      <c r="I4" s="1095"/>
      <c r="K4" s="1055"/>
    </row>
    <row r="5" spans="1:13" s="1051" customFormat="1" ht="20.100000000000001" customHeight="1" thickBot="1">
      <c r="B5" s="1096"/>
      <c r="C5" s="1097"/>
      <c r="D5" s="1109"/>
      <c r="E5" s="1098"/>
      <c r="F5" s="1109" t="s">
        <v>1943</v>
      </c>
      <c r="G5" s="1110"/>
      <c r="H5" s="1106">
        <f>IFERROR(H3/H4,0)</f>
        <v>0.72288076588385874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1941</v>
      </c>
      <c r="C8" s="2663"/>
      <c r="D8" s="2663"/>
      <c r="E8" s="2664"/>
      <c r="G8" s="2665" t="s">
        <v>1942</v>
      </c>
      <c r="H8" s="2666"/>
      <c r="I8" s="2667"/>
      <c r="K8" s="1057"/>
    </row>
    <row r="9" spans="1:13" ht="15" customHeight="1">
      <c r="A9" s="1046"/>
      <c r="B9" s="2660" t="s">
        <v>1975</v>
      </c>
      <c r="C9" s="2660"/>
      <c r="D9" s="2660"/>
      <c r="E9" s="1059">
        <f>G33</f>
        <v>5887500</v>
      </c>
      <c r="G9" s="2668" t="s">
        <v>1973</v>
      </c>
      <c r="H9" s="2668"/>
      <c r="I9" s="1060">
        <f>SUMIF(Application!M554:M565,"Loan, Tax-Exempt",Application!AM554:AM565)</f>
        <v>23000000</v>
      </c>
      <c r="K9" s="1061"/>
      <c r="M9" s="1062"/>
    </row>
    <row r="10" spans="1:13" ht="15" customHeight="1" thickBot="1">
      <c r="A10" s="1046"/>
      <c r="B10" s="2660" t="s">
        <v>1976</v>
      </c>
      <c r="C10" s="2660"/>
      <c r="D10" s="2660"/>
      <c r="E10" s="1060">
        <f>G47</f>
        <v>10516320</v>
      </c>
      <c r="G10" s="2672" t="s">
        <v>1944</v>
      </c>
      <c r="H10" s="2672"/>
      <c r="I10" s="1140">
        <f>'Basis &amp; Credits'!AB78</f>
        <v>8638450</v>
      </c>
      <c r="M10" s="1062"/>
    </row>
    <row r="11" spans="1:13" ht="15" customHeight="1">
      <c r="A11" s="1046"/>
      <c r="B11" s="2676" t="s">
        <v>2265</v>
      </c>
      <c r="C11" s="2677"/>
      <c r="D11" s="2678"/>
      <c r="E11" s="1060">
        <f>SUM(E12,E13)</f>
        <v>200000</v>
      </c>
      <c r="G11" s="2675" t="s">
        <v>1984</v>
      </c>
      <c r="H11" s="2675"/>
      <c r="I11" s="1139">
        <f>I9+I10</f>
        <v>31638450</v>
      </c>
      <c r="M11" s="1062"/>
    </row>
    <row r="12" spans="1:13" ht="15" customHeight="1">
      <c r="A12" s="1063"/>
      <c r="B12" s="2661" t="s">
        <v>2267</v>
      </c>
      <c r="C12" s="2661"/>
      <c r="D12" s="2661"/>
      <c r="E12" s="1165">
        <f>G56</f>
        <v>0</v>
      </c>
      <c r="M12" s="1062"/>
    </row>
    <row r="13" spans="1:13" ht="15" customHeight="1">
      <c r="A13" s="1049"/>
      <c r="B13" s="2661" t="s">
        <v>2268</v>
      </c>
      <c r="C13" s="2661"/>
      <c r="D13" s="2661"/>
      <c r="E13" s="1165">
        <f>G65</f>
        <v>200000</v>
      </c>
      <c r="G13" s="2665" t="s">
        <v>2007</v>
      </c>
      <c r="H13" s="2666"/>
      <c r="I13" s="2667"/>
      <c r="M13" s="1062"/>
    </row>
    <row r="14" spans="1:13" ht="15" customHeight="1">
      <c r="A14" s="1049"/>
      <c r="B14" s="2676" t="s">
        <v>2266</v>
      </c>
      <c r="C14" s="2677"/>
      <c r="D14" s="2678"/>
      <c r="E14" s="1167">
        <f>MAX(E15,E16)+E17</f>
        <v>6594000</v>
      </c>
      <c r="G14" s="2668" t="s">
        <v>139</v>
      </c>
      <c r="H14" s="2668"/>
      <c r="I14" s="1064">
        <f>15%*(AND(G120="Yes",G122&lt;&gt;""))</f>
        <v>0</v>
      </c>
      <c r="M14" s="1062"/>
    </row>
    <row r="15" spans="1:13" ht="15" customHeight="1">
      <c r="A15" s="1049"/>
      <c r="B15" s="2679" t="s">
        <v>2272</v>
      </c>
      <c r="C15" s="2680"/>
      <c r="D15" s="2681"/>
      <c r="E15" s="1165">
        <f>G80</f>
        <v>0</v>
      </c>
      <c r="G15" s="1137" t="s">
        <v>1985</v>
      </c>
      <c r="H15" s="1137"/>
      <c r="I15" s="1064">
        <f>IF(Application!AJ1032&gt;0,10%,IF(Application!AJ1036&gt;0,5%,0))</f>
        <v>0</v>
      </c>
      <c r="M15" s="1062"/>
    </row>
    <row r="16" spans="1:13" ht="15" customHeight="1">
      <c r="A16" s="1049"/>
      <c r="B16" s="2679" t="s">
        <v>2271</v>
      </c>
      <c r="C16" s="2680"/>
      <c r="D16" s="2681"/>
      <c r="E16" s="1165">
        <f>G90</f>
        <v>2355000</v>
      </c>
      <c r="G16" s="2668" t="s">
        <v>1986</v>
      </c>
      <c r="H16" s="2668"/>
      <c r="I16" s="1064">
        <f>G132</f>
        <v>-1.4297385620915032E-2</v>
      </c>
    </row>
    <row r="17" spans="1:21" ht="15" customHeight="1" thickBot="1">
      <c r="A17" s="1049"/>
      <c r="B17" s="2679" t="s">
        <v>2270</v>
      </c>
      <c r="C17" s="2680"/>
      <c r="D17" s="2681"/>
      <c r="E17" s="1165">
        <f>G115</f>
        <v>4239000</v>
      </c>
      <c r="G17" s="2668" t="s">
        <v>2280</v>
      </c>
      <c r="H17" s="2668"/>
      <c r="I17" s="1064">
        <f>IF(AND(G139="Yes",OR(G136,G137)),IF(G143&gt;15%,15%,G143),0)</f>
        <v>0</v>
      </c>
    </row>
    <row r="18" spans="1:21" ht="15" customHeight="1">
      <c r="A18" s="1046"/>
      <c r="B18" s="2671" t="s">
        <v>1940</v>
      </c>
      <c r="C18" s="2671"/>
      <c r="D18" s="2671"/>
      <c r="E18" s="1111">
        <f>SUM(E9:E11,E14)</f>
        <v>23197820</v>
      </c>
      <c r="G18" s="1138" t="s">
        <v>1974</v>
      </c>
      <c r="H18" s="1138"/>
      <c r="I18" s="1112">
        <f>I11-((I11*I14)+(I11*I15)+(I11*I16)+(I11*I17))</f>
        <v>32090797.12009804</v>
      </c>
      <c r="M18" s="1065">
        <f>SUM(Cdlac[Quantity])</f>
        <v>95</v>
      </c>
      <c r="O18" s="1084" t="s">
        <v>583</v>
      </c>
      <c r="P18" s="1044">
        <f>MATCH(Application!T189,Application!CB160:CB217,0)</f>
        <v>57</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0.3</v>
      </c>
      <c r="O20" s="1071">
        <f>IF(Cdlac[[#This Row],[Quantity]]&gt;0,IF(Cdlac[[#This Row],[Federal]],30%,IF(AND(OR(NOT($G$38),$G$38=""),$G$43),40%,Cdlac[[#This Row],[iAMI]])),"")</f>
        <v>0.3</v>
      </c>
      <c r="P20" s="1065" cm="1">
        <f t="array" ref="P20">IF(Cdlac[[#This Row],[Quantity]]&gt;0,INDEX(TcacRents,$P$18,Cdlac[[#This Row],[Bedrooms]]+1)*Cdlac[[#This Row],[AMI]],"")</f>
        <v>708.6</v>
      </c>
      <c r="Q20" s="1164"/>
      <c r="R20" s="1065" cm="1">
        <f t="array" ref="R20">IF(Cdlac[[#This Row],[Quantity]]&gt;0,INDEX(HudFmrs,$P$18,Cdlac[[#This Row],[Bedrooms]]+1),"")</f>
        <v>1613</v>
      </c>
      <c r="S20" s="1065">
        <f>IF(Cdlac[[#This Row],[Quantity]]&gt;0,MAX(0,Cdlac[[#This Row],[Fair Market Rent]]-IF(AND($G$37,$G$38,$G$38&lt;&gt;"",NOT(Cdlac[[#This Row],[Federal]]),Cdlac[[#This Row],[Preservation Rent]]&lt;&gt;""),Cdlac[[#This Row],[Preservation Rent]],Cdlac[[#This Row],[Restricted Rent]])),"")</f>
        <v>904.4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v>
      </c>
      <c r="N21" s="1071">
        <f>Application!AC719</f>
        <v>0.5</v>
      </c>
      <c r="O21" s="1071">
        <f>IF(Cdlac[[#This Row],[Quantity]]&gt;0,IF(Cdlac[[#This Row],[Federal]],30%,IF(AND(OR(NOT($G$38),$G$38=""),$G$43),40%,Cdlac[[#This Row],[iAMI]])),"")</f>
        <v>0.5</v>
      </c>
      <c r="P21" s="1065" cm="1">
        <f t="array" ref="P21">IF(Cdlac[[#This Row],[Quantity]]&gt;0,INDEX(TcacRents,$P$18,Cdlac[[#This Row],[Bedrooms]]+1)*Cdlac[[#This Row],[AMI]],"")</f>
        <v>1181</v>
      </c>
      <c r="Q21" s="1164"/>
      <c r="R21" s="1065" cm="1">
        <f t="array" ref="R21">IF(Cdlac[[#This Row],[Quantity]]&gt;0,INDEX(HudFmrs,$P$18,Cdlac[[#This Row],[Bedrooms]]+1),"")</f>
        <v>1613</v>
      </c>
      <c r="S21" s="1065">
        <f>IF(Cdlac[[#This Row],[Quantity]]&gt;0,MAX(0,Cdlac[[#This Row],[Fair Market Rent]]-IF(AND($G$37,$G$38,$G$38&lt;&gt;"",NOT(Cdlac[[#This Row],[Federal]]),Cdlac[[#This Row],[Preservation Rent]]&lt;&gt;""),Cdlac[[#This Row],[Preservation Rent]],Cdlac[[#This Row],[Restricted Rent]])),"")</f>
        <v>432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1988</v>
      </c>
      <c r="D22" s="2669" t="s">
        <v>1989</v>
      </c>
      <c r="E22" s="2669" t="s">
        <v>1990</v>
      </c>
      <c r="F22" s="2669" t="s">
        <v>2611</v>
      </c>
      <c r="G22" s="2669" t="s">
        <v>1987</v>
      </c>
      <c r="H22" s="1070"/>
      <c r="I22" s="1069"/>
      <c r="L22" s="1044">
        <f>IFERROR(MIN(4,MATCH(Application!B720,UnitSizes,0)-1),"")</f>
        <v>1</v>
      </c>
      <c r="M22" s="1065">
        <f>Application!G720</f>
        <v>24</v>
      </c>
      <c r="N22" s="1071">
        <f>Application!AC720</f>
        <v>0.6</v>
      </c>
      <c r="O22" s="1071">
        <f>IF(Cdlac[[#This Row],[Quantity]]&gt;0,IF(Cdlac[[#This Row],[Federal]],30%,IF(AND(OR(NOT($G$38),$G$38=""),$G$43),40%,Cdlac[[#This Row],[iAMI]])),"")</f>
        <v>0.6</v>
      </c>
      <c r="P22" s="1065" cm="1">
        <f t="array" ref="P22">IF(Cdlac[[#This Row],[Quantity]]&gt;0,INDEX(TcacRents,$P$18,Cdlac[[#This Row],[Bedrooms]]+1)*Cdlac[[#This Row],[AMI]],"")</f>
        <v>1417.2</v>
      </c>
      <c r="Q22" s="1164"/>
      <c r="R22" s="1065" cm="1">
        <f t="array" ref="R22">IF(Cdlac[[#This Row],[Quantity]]&gt;0,INDEX(HudFmrs,$P$18,Cdlac[[#This Row],[Bedrooms]]+1),"")</f>
        <v>1613</v>
      </c>
      <c r="S22" s="1065">
        <f>IF(Cdlac[[#This Row],[Quantity]]&gt;0,MAX(0,Cdlac[[#This Row],[Fair Market Rent]]-IF(AND($G$37,$G$38,$G$38&lt;&gt;"",NOT(Cdlac[[#This Row],[Federal]]),Cdlac[[#This Row],[Preservation Rent]]&lt;&gt;""),Cdlac[[#This Row],[Preservation Rent]],Cdlac[[#This Row],[Restricted Rent]])),"")</f>
        <v>195.79999999999995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2</v>
      </c>
      <c r="M23" s="1065">
        <f>Application!G721</f>
        <v>5</v>
      </c>
      <c r="N23" s="1071">
        <f>Application!AC721</f>
        <v>0.3</v>
      </c>
      <c r="O23" s="1071">
        <f>IF(Cdlac[[#This Row],[Quantity]]&gt;0,IF(Cdlac[[#This Row],[Federal]],30%,IF(AND(OR(NOT($G$38),$G$38=""),$G$43),40%,Cdlac[[#This Row],[iAMI]])),"")</f>
        <v>0.3</v>
      </c>
      <c r="P23" s="1065" cm="1">
        <f t="array" ref="P23">IF(Cdlac[[#This Row],[Quantity]]&gt;0,INDEX(TcacRents,$P$18,Cdlac[[#This Row],[Bedrooms]]+1)*Cdlac[[#This Row],[AMI]],"")</f>
        <v>849.6</v>
      </c>
      <c r="Q23" s="1164"/>
      <c r="R23" s="1065" cm="1">
        <f t="array" ref="R23">IF(Cdlac[[#This Row],[Quantity]]&gt;0,INDEX(HudFmrs,$P$18,Cdlac[[#This Row],[Bedrooms]]+1),"")</f>
        <v>2116</v>
      </c>
      <c r="S23" s="1065">
        <f>IF(Cdlac[[#This Row],[Quantity]]&gt;0,MAX(0,Cdlac[[#This Row],[Fair Market Rent]]-IF(AND($G$37,$G$38,$G$38&lt;&gt;"",NOT(Cdlac[[#This Row],[Federal]]),Cdlac[[#This Row],[Preservation Rent]]&lt;&gt;""),Cdlac[[#This Row],[Preservation Rent]],Cdlac[[#This Row],[Restricted Rent]])),"")</f>
        <v>1266.4000000000001</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5</v>
      </c>
      <c r="N24" s="1071">
        <f>Application!AC722</f>
        <v>0.5</v>
      </c>
      <c r="O24" s="1071">
        <f>IF(Cdlac[[#This Row],[Quantity]]&gt;0,IF(Cdlac[[#This Row],[Federal]],30%,IF(AND(OR(NOT($G$38),$G$38=""),$G$43),40%,Cdlac[[#This Row],[iAMI]])),"")</f>
        <v>0.5</v>
      </c>
      <c r="P24" s="1065" cm="1">
        <f t="array" ref="P24">IF(Cdlac[[#This Row],[Quantity]]&gt;0,INDEX(TcacRents,$P$18,Cdlac[[#This Row],[Bedrooms]]+1)*Cdlac[[#This Row],[AMI]],"")</f>
        <v>1416</v>
      </c>
      <c r="Q24" s="1164"/>
      <c r="R24" s="1065" cm="1">
        <f t="array" ref="R24">IF(Cdlac[[#This Row],[Quantity]]&gt;0,INDEX(HudFmrs,$P$18,Cdlac[[#This Row],[Bedrooms]]+1),"")</f>
        <v>2116</v>
      </c>
      <c r="S24" s="1065">
        <f>IF(Cdlac[[#This Row],[Quantity]]&gt;0,MAX(0,Cdlac[[#This Row],[Fair Market Rent]]-IF(AND($G$37,$G$38,$G$38&lt;&gt;"",NOT(Cdlac[[#This Row],[Federal]]),Cdlac[[#This Row],[Preservation Rent]]&lt;&gt;""),Cdlac[[#This Row],[Preservation Rent]],Cdlac[[#This Row],[Restricted Rent]])),"")</f>
        <v>700</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28</v>
      </c>
      <c r="F25" s="1072">
        <f>E25</f>
        <v>28</v>
      </c>
      <c r="G25" s="1072">
        <f>D25*F25</f>
        <v>28</v>
      </c>
      <c r="L25" s="1044">
        <f>IFERROR(MIN(4,MATCH(Application!B723,UnitSizes,0)-1),"")</f>
        <v>2</v>
      </c>
      <c r="M25" s="1065">
        <f>Application!G723</f>
        <v>33</v>
      </c>
      <c r="N25" s="1071">
        <f>Application!AC723</f>
        <v>0.6</v>
      </c>
      <c r="O25" s="1071">
        <f>IF(Cdlac[[#This Row],[Quantity]]&gt;0,IF(Cdlac[[#This Row],[Federal]],30%,IF(AND(OR(NOT($G$38),$G$38=""),$G$43),40%,Cdlac[[#This Row],[iAMI]])),"")</f>
        <v>0.6</v>
      </c>
      <c r="P25" s="1065" cm="1">
        <f t="array" ref="P25">IF(Cdlac[[#This Row],[Quantity]]&gt;0,INDEX(TcacRents,$P$18,Cdlac[[#This Row],[Bedrooms]]+1)*Cdlac[[#This Row],[AMI]],"")</f>
        <v>1699.2</v>
      </c>
      <c r="Q25" s="1164"/>
      <c r="R25" s="1065" cm="1">
        <f t="array" ref="R25">IF(Cdlac[[#This Row],[Quantity]]&gt;0,INDEX(HudFmrs,$P$18,Cdlac[[#This Row],[Bedrooms]]+1),"")</f>
        <v>2116</v>
      </c>
      <c r="S25" s="1065">
        <f>IF(Cdlac[[#This Row],[Quantity]]&gt;0,MAX(0,Cdlac[[#This Row],[Fair Market Rent]]-IF(AND($G$37,$G$38,$G$38&lt;&gt;"",NOT(Cdlac[[#This Row],[Federal]]),Cdlac[[#This Row],[Preservation Rent]]&lt;&gt;""),Cdlac[[#This Row],[Preservation Rent]],Cdlac[[#This Row],[Restricted Rent]])),"")</f>
        <v>416.79999999999995</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43</v>
      </c>
      <c r="F26" s="1075">
        <f>SUM(E26:E28)-SUM(F27:F28)</f>
        <v>43</v>
      </c>
      <c r="G26" s="1072">
        <f>D26*F26</f>
        <v>53.75</v>
      </c>
      <c r="H26" s="1074"/>
      <c r="I26" s="1074"/>
      <c r="L26" s="1044">
        <f>IFERROR(MIN(4,MATCH(Application!B724,UnitSizes,0)-1),"")</f>
        <v>3</v>
      </c>
      <c r="M26" s="1065">
        <f>Application!G724</f>
        <v>3</v>
      </c>
      <c r="N26" s="1071">
        <f>Application!AC724</f>
        <v>0.3</v>
      </c>
      <c r="O26" s="1071">
        <f>IF(Cdlac[[#This Row],[Quantity]]&gt;0,IF(Cdlac[[#This Row],[Federal]],30%,IF(AND(OR(NOT($G$38),$G$38=""),$G$43),40%,Cdlac[[#This Row],[iAMI]])),"")</f>
        <v>0.3</v>
      </c>
      <c r="P26" s="1065" cm="1">
        <f t="array" ref="P26">IF(Cdlac[[#This Row],[Quantity]]&gt;0,INDEX(TcacRents,$P$18,Cdlac[[#This Row],[Bedrooms]]+1)*Cdlac[[#This Row],[AMI]],"")</f>
        <v>981.59999999999991</v>
      </c>
      <c r="Q26" s="1164"/>
      <c r="R26" s="1065" cm="1">
        <f t="array" ref="R26">IF(Cdlac[[#This Row],[Quantity]]&gt;0,INDEX(HudFmrs,$P$18,Cdlac[[#This Row],[Bedrooms]]+1),"")</f>
        <v>2944</v>
      </c>
      <c r="S26" s="1065">
        <f>IF(Cdlac[[#This Row],[Quantity]]&gt;0,MAX(0,Cdlac[[#This Row],[Fair Market Rent]]-IF(AND($G$37,$G$38,$G$38&lt;&gt;"",NOT(Cdlac[[#This Row],[Federal]]),Cdlac[[#This Row],[Preservation Rent]]&lt;&gt;""),Cdlac[[#This Row],[Preservation Rent]],Cdlac[[#This Row],[Restricted Rent]])),"")</f>
        <v>1962.4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24</v>
      </c>
      <c r="F27" s="1075">
        <f>MIN(E27,ROUNDDOWN(E29*30%,0))</f>
        <v>24</v>
      </c>
      <c r="G27" s="1072">
        <f>D27*F27</f>
        <v>36</v>
      </c>
      <c r="H27" s="1074"/>
      <c r="I27" s="1074"/>
      <c r="L27" s="1044">
        <f>IFERROR(MIN(4,MATCH(Application!B725,UnitSizes,0)-1),"")</f>
        <v>3</v>
      </c>
      <c r="M27" s="1065">
        <f>Application!G725</f>
        <v>3</v>
      </c>
      <c r="N27" s="1071">
        <f>Application!AC725</f>
        <v>0.5</v>
      </c>
      <c r="O27" s="1071">
        <f>IF(Cdlac[[#This Row],[Quantity]]&gt;0,IF(Cdlac[[#This Row],[Federal]],30%,IF(AND(OR(NOT($G$38),$G$38=""),$G$43),40%,Cdlac[[#This Row],[iAMI]])),"")</f>
        <v>0.5</v>
      </c>
      <c r="P27" s="1065" cm="1">
        <f t="array" ref="P27">IF(Cdlac[[#This Row],[Quantity]]&gt;0,INDEX(TcacRents,$P$18,Cdlac[[#This Row],[Bedrooms]]+1)*Cdlac[[#This Row],[AMI]],"")</f>
        <v>1636</v>
      </c>
      <c r="Q27" s="1164"/>
      <c r="R27" s="1065" cm="1">
        <f t="array" ref="R27">IF(Cdlac[[#This Row],[Quantity]]&gt;0,INDEX(HudFmrs,$P$18,Cdlac[[#This Row],[Bedrooms]]+1),"")</f>
        <v>2944</v>
      </c>
      <c r="S27" s="1065">
        <f>IF(Cdlac[[#This Row],[Quantity]]&gt;0,MAX(0,Cdlac[[#This Row],[Fair Market Rent]]-IF(AND($G$37,$G$38,$G$38&lt;&gt;"",NOT(Cdlac[[#This Row],[Federal]]),Cdlac[[#This Row],[Preservation Rent]]&lt;&gt;""),Cdlac[[#This Row],[Preservation Rent]],Cdlac[[#This Row],[Restricted Rent]])),"")</f>
        <v>1308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18</v>
      </c>
      <c r="N28" s="1071">
        <f>Application!AC726</f>
        <v>0.6</v>
      </c>
      <c r="O28" s="1071">
        <f>IF(Cdlac[[#This Row],[Quantity]]&gt;0,IF(Cdlac[[#This Row],[Federal]],30%,IF(AND(OR(NOT($G$38),$G$38=""),$G$43),40%,Cdlac[[#This Row],[iAMI]])),"")</f>
        <v>0.6</v>
      </c>
      <c r="P28" s="1065" cm="1">
        <f t="array" ref="P28">IF(Cdlac[[#This Row],[Quantity]]&gt;0,INDEX(TcacRents,$P$18,Cdlac[[#This Row],[Bedrooms]]+1)*Cdlac[[#This Row],[AMI]],"")</f>
        <v>1963.1999999999998</v>
      </c>
      <c r="Q28" s="1164"/>
      <c r="R28" s="1065" cm="1">
        <f t="array" ref="R28">IF(Cdlac[[#This Row],[Quantity]]&gt;0,INDEX(HudFmrs,$P$18,Cdlac[[#This Row],[Bedrooms]]+1),"")</f>
        <v>2944</v>
      </c>
      <c r="S28" s="1065">
        <f>IF(Cdlac[[#This Row],[Quantity]]&gt;0,MAX(0,Cdlac[[#This Row],[Fair Market Rent]]-IF(AND($G$37,$G$38,$G$38&lt;&gt;"",NOT(Cdlac[[#This Row],[Federal]]),Cdlac[[#This Row],[Preservation Rent]]&lt;&gt;""),Cdlac[[#This Row],[Preservation Rent]],Cdlac[[#This Row],[Restricted Rent]])),"")</f>
        <v>980.80000000000018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1587</v>
      </c>
      <c r="D29" s="2684"/>
      <c r="E29" s="1089">
        <f>SUM(E24:E28)</f>
        <v>95</v>
      </c>
      <c r="F29" s="1089">
        <f>SUM(F24:F28)</f>
        <v>95</v>
      </c>
      <c r="G29" s="1090">
        <f>SUMPRODUCT(D24:D28,F24:F28)</f>
        <v>117.75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117.75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5887500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0.55789473684210522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58424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10516320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47</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10</v>
      </c>
    </row>
    <row r="61" spans="2:21" ht="15" customHeight="1">
      <c r="E61" s="1117" t="s">
        <v>1996</v>
      </c>
      <c r="G61" s="1079">
        <f>ROUNDDOWN(E29*50%,0)</f>
        <v>47</v>
      </c>
    </row>
    <row r="62" spans="2:21" ht="15" customHeight="1">
      <c r="E62" s="1117"/>
      <c r="G62" s="1079"/>
    </row>
    <row r="63" spans="2:21" ht="15" customHeight="1">
      <c r="E63" s="1117" t="s">
        <v>1956</v>
      </c>
      <c r="G63" s="1114">
        <f>MIN(G60:G61)</f>
        <v>10</v>
      </c>
    </row>
    <row r="64" spans="2:21" ht="15" customHeight="1">
      <c r="E64" s="1117" t="s">
        <v>1946</v>
      </c>
      <c r="F64" s="1113" t="s">
        <v>1994</v>
      </c>
      <c r="G64" s="1124">
        <v>20000</v>
      </c>
    </row>
    <row r="65" spans="2:14" ht="15" customHeight="1">
      <c r="E65" s="1118" t="s">
        <v>1978</v>
      </c>
      <c r="F65" s="1046"/>
      <c r="G65" s="1123">
        <f>G63*G64</f>
        <v>200000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Low Resource</v>
      </c>
      <c r="L72" s="2656" t="s">
        <v>1971</v>
      </c>
      <c r="M72" s="2657"/>
      <c r="N72" s="1131">
        <v>30000</v>
      </c>
    </row>
    <row r="73" spans="2:14" ht="15" customHeight="1">
      <c r="C73" s="2658" t="s">
        <v>2264</v>
      </c>
      <c r="D73" s="2658"/>
      <c r="E73" s="2658"/>
      <c r="F73" s="2658"/>
      <c r="G73" s="1043"/>
      <c r="L73" s="2673" t="s">
        <v>1939</v>
      </c>
      <c r="M73" s="2674"/>
      <c r="N73" s="1132">
        <v>20000</v>
      </c>
    </row>
    <row r="74" spans="2:14" ht="15" customHeight="1" thickBot="1">
      <c r="C74" s="2658"/>
      <c r="D74" s="2658"/>
      <c r="E74" s="2658"/>
      <c r="F74" s="2658"/>
      <c r="L74" s="2648" t="s">
        <v>1972</v>
      </c>
      <c r="M74" s="2649"/>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117.75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117.75</v>
      </c>
    </row>
    <row r="89" spans="2:9" ht="15" customHeight="1">
      <c r="E89" s="1084" t="s">
        <v>1946</v>
      </c>
      <c r="F89" s="1113" t="s">
        <v>1994</v>
      </c>
      <c r="G89" s="1050">
        <v>20000</v>
      </c>
    </row>
    <row r="90" spans="2:9" ht="15" customHeight="1">
      <c r="E90" s="1118" t="s">
        <v>2273</v>
      </c>
      <c r="F90" s="1046"/>
      <c r="G90" s="1123">
        <f>G86*G89*G88</f>
        <v>2355000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4</v>
      </c>
    </row>
    <row r="95" spans="2:9" ht="15" customHeight="1">
      <c r="E95" s="1084" t="s">
        <v>1946</v>
      </c>
      <c r="F95" s="1113" t="s">
        <v>1994</v>
      </c>
      <c r="G95" s="1076">
        <v>4000</v>
      </c>
    </row>
    <row r="96" spans="2:9" ht="15" customHeight="1" thickBot="1">
      <c r="E96" s="1084" t="s">
        <v>1998</v>
      </c>
      <c r="F96" s="1113" t="s">
        <v>1994</v>
      </c>
      <c r="G96" s="1126">
        <f>G29</f>
        <v>117.75</v>
      </c>
    </row>
    <row r="97" spans="2:14" ht="15" customHeight="1">
      <c r="E97" s="1118" t="s">
        <v>1963</v>
      </c>
      <c r="F97" s="1046"/>
      <c r="G97" s="1123">
        <f>G94*G95*G96</f>
        <v>1884000</v>
      </c>
      <c r="L97" s="1127" t="str">
        <f>'Points System'!H638</f>
        <v>(i)</v>
      </c>
      <c r="M97" s="2654" t="s">
        <v>1406</v>
      </c>
      <c r="N97" s="2655"/>
    </row>
    <row r="98" spans="2:14" ht="15" customHeight="1">
      <c r="C98" s="1077"/>
      <c r="G98" s="1114"/>
      <c r="L98" s="1128" t="str">
        <f>'Points System'!H650</f>
        <v>N/A</v>
      </c>
      <c r="M98" s="2650" t="s">
        <v>1958</v>
      </c>
      <c r="N98" s="2651"/>
    </row>
    <row r="99" spans="2:14" ht="15" customHeight="1">
      <c r="E99" s="1084" t="s">
        <v>1999</v>
      </c>
      <c r="G99" s="1126">
        <f>COUNTIFS(L97:L104,"(i)")</f>
        <v>5</v>
      </c>
      <c r="L99" s="1128" t="str">
        <f>'Points System'!H685</f>
        <v>(i)</v>
      </c>
      <c r="M99" s="2650" t="s">
        <v>1959</v>
      </c>
      <c r="N99" s="2651"/>
    </row>
    <row r="100" spans="2:14" ht="15" customHeight="1">
      <c r="E100" s="1084" t="s">
        <v>1946</v>
      </c>
      <c r="F100" s="1113" t="s">
        <v>1994</v>
      </c>
      <c r="G100" s="1124">
        <v>4000</v>
      </c>
      <c r="L100" s="1128" t="str">
        <f>IF(OR('Points System'!H709="(ii)",'Points System'!H709="(i)"),"(i)","N/A")</f>
        <v>(i)</v>
      </c>
      <c r="M100" s="2650" t="s">
        <v>1960</v>
      </c>
      <c r="N100" s="2651"/>
    </row>
    <row r="101" spans="2:14" ht="15" customHeight="1">
      <c r="E101" s="1118" t="s">
        <v>1964</v>
      </c>
      <c r="F101" s="1046"/>
      <c r="G101" s="1123">
        <f>G96*G99*G100</f>
        <v>2355000</v>
      </c>
      <c r="L101" s="1129" t="str">
        <f>'Points System'!H723</f>
        <v>N/A</v>
      </c>
      <c r="M101" s="2650" t="s">
        <v>1432</v>
      </c>
      <c r="N101" s="2651"/>
    </row>
    <row r="102" spans="2:14" ht="15" customHeight="1">
      <c r="L102" s="1128" t="str">
        <f>'Points System'!H735</f>
        <v>N/A</v>
      </c>
      <c r="M102" s="2650" t="s">
        <v>1961</v>
      </c>
      <c r="N102" s="2651"/>
    </row>
    <row r="103" spans="2:14" ht="15" customHeight="1">
      <c r="C103" s="1080" t="s">
        <v>1966</v>
      </c>
      <c r="L103" s="1128" t="str">
        <f>'Points System'!H751</f>
        <v>(i)</v>
      </c>
      <c r="M103" s="2650" t="s">
        <v>1962</v>
      </c>
      <c r="N103" s="2651"/>
    </row>
    <row r="104" spans="2:14" ht="15" customHeight="1" thickBot="1">
      <c r="C104" s="1077" t="s">
        <v>1967</v>
      </c>
      <c r="G104" s="1043"/>
      <c r="L104" s="1130" t="str">
        <f>'Points System'!H763</f>
        <v>(i)</v>
      </c>
      <c r="M104" s="2652" t="s">
        <v>1435</v>
      </c>
      <c r="N104" s="2653"/>
    </row>
    <row r="105" spans="2:14" ht="15" customHeight="1">
      <c r="C105" s="1077" t="s">
        <v>1968</v>
      </c>
      <c r="G105" s="1043"/>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0</v>
      </c>
    </row>
    <row r="110" spans="2:14" ht="15" customHeight="1">
      <c r="E110" s="1077"/>
    </row>
    <row r="111" spans="2:14" ht="15" customHeight="1">
      <c r="E111" s="1084" t="s">
        <v>1998</v>
      </c>
      <c r="F111" s="1113" t="s">
        <v>1994</v>
      </c>
      <c r="G111" s="1114">
        <f>G29</f>
        <v>117.75</v>
      </c>
    </row>
    <row r="112" spans="2:14" ht="15" customHeight="1">
      <c r="E112" s="1084" t="s">
        <v>1946</v>
      </c>
      <c r="F112" s="1113" t="s">
        <v>1994</v>
      </c>
      <c r="G112" s="1124">
        <v>25000</v>
      </c>
    </row>
    <row r="113" spans="2:9" ht="15" customHeight="1">
      <c r="E113" s="1118" t="s">
        <v>1965</v>
      </c>
      <c r="F113" s="1046"/>
      <c r="G113" s="1123">
        <f>G109*G112*G96</f>
        <v>0</v>
      </c>
    </row>
    <row r="114" spans="2:9" ht="15" customHeight="1">
      <c r="C114" s="1077"/>
      <c r="E114" s="1077"/>
    </row>
    <row r="115" spans="2:9" ht="15" customHeight="1">
      <c r="E115" s="1118" t="s">
        <v>2274</v>
      </c>
      <c r="G115" s="1123">
        <f>G113+G101+G97</f>
        <v>4239000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2229</v>
      </c>
      <c r="D119" s="2685"/>
      <c r="E119" s="2685"/>
      <c r="F119" s="2685"/>
    </row>
    <row r="120" spans="2:9" ht="15" customHeight="1">
      <c r="C120" s="2685"/>
      <c r="D120" s="2685"/>
      <c r="E120" s="2685"/>
      <c r="F120" s="2685"/>
      <c r="G120" s="1043"/>
    </row>
    <row r="121" spans="2:9" ht="15" customHeight="1"/>
    <row r="122" spans="2:9" ht="15" customHeight="1">
      <c r="C122" s="1044" t="s">
        <v>2231</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Yolo</v>
      </c>
    </row>
    <row r="129" spans="2:9">
      <c r="E129" s="1084"/>
      <c r="G129" s="1078"/>
    </row>
    <row r="130" spans="2:9">
      <c r="E130" s="1084" t="str">
        <f>"2-Bedroom "&amp;G128&amp;" County Basis Limit"</f>
        <v>2-Bedroom Yolo County Basis Limit</v>
      </c>
      <c r="G130" s="1078">
        <f>Application!R988</f>
        <v>461600</v>
      </c>
    </row>
    <row r="131" spans="2:9">
      <c r="E131" s="1084" t="s">
        <v>2002</v>
      </c>
      <c r="G131" s="1078">
        <f>MEDIAN((Application!CU160:CU217))</f>
        <v>489600</v>
      </c>
    </row>
    <row r="132" spans="2:9" ht="15">
      <c r="D132" s="1046"/>
      <c r="E132" s="1118" t="s">
        <v>2004</v>
      </c>
      <c r="F132" s="1134"/>
      <c r="G132" s="1135">
        <f>((G130-G131)/G131)*0.25</f>
        <v>-1.4297385620915032E-2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2" t="s">
        <v>2277</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3450000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910</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2</v>
      </c>
      <c r="C4" s="1162"/>
      <c r="D4" s="428">
        <f>Application!O718</f>
        <v>559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v>
      </c>
      <c r="C5" s="1162"/>
      <c r="D5" s="428">
        <f>Application!O719</f>
        <v>1032</v>
      </c>
      <c r="E5" s="429"/>
      <c r="F5" s="1083"/>
      <c r="G5" s="428">
        <f t="shared" ref="G5:G38" si="2">F5*B5</f>
        <v>0</v>
      </c>
      <c r="H5" s="429"/>
      <c r="I5" s="428" t="str">
        <f t="shared" si="0"/>
        <v/>
      </c>
      <c r="J5" s="428" t="str">
        <f t="shared" si="1"/>
        <v/>
      </c>
      <c r="K5" s="204"/>
      <c r="L5" s="305"/>
    </row>
    <row r="6" spans="1:12">
      <c r="A6" s="428" t="str">
        <f>Application!B720</f>
        <v>1 Bedroom</v>
      </c>
      <c r="B6" s="1082">
        <f>Application!G720</f>
        <v>24</v>
      </c>
      <c r="C6" s="1162"/>
      <c r="D6" s="428">
        <f>Application!O720</f>
        <v>1268</v>
      </c>
      <c r="E6" s="429"/>
      <c r="F6" s="1083"/>
      <c r="G6" s="428">
        <f t="shared" si="2"/>
        <v>0</v>
      </c>
      <c r="H6" s="429"/>
      <c r="I6" s="428" t="str">
        <f t="shared" si="0"/>
        <v/>
      </c>
      <c r="J6" s="428" t="str">
        <f t="shared" si="1"/>
        <v/>
      </c>
      <c r="K6" s="204"/>
      <c r="L6" s="305"/>
    </row>
    <row r="7" spans="1:12">
      <c r="A7" s="428" t="str">
        <f>Application!B721</f>
        <v>2 Bedrooms</v>
      </c>
      <c r="B7" s="1082">
        <f>Application!G721</f>
        <v>5</v>
      </c>
      <c r="C7" s="1162"/>
      <c r="D7" s="428">
        <f>Application!O721</f>
        <v>670</v>
      </c>
      <c r="E7" s="429"/>
      <c r="F7" s="1083"/>
      <c r="G7" s="428">
        <f t="shared" si="2"/>
        <v>0</v>
      </c>
      <c r="H7" s="429"/>
      <c r="I7" s="428" t="str">
        <f t="shared" si="0"/>
        <v/>
      </c>
      <c r="J7" s="428" t="str">
        <f t="shared" si="1"/>
        <v/>
      </c>
      <c r="K7" s="204"/>
      <c r="L7" s="305"/>
    </row>
    <row r="8" spans="1:12">
      <c r="A8" s="428" t="str">
        <f>Application!B722</f>
        <v>2 Bedrooms</v>
      </c>
      <c r="B8" s="1082">
        <f>Application!G722</f>
        <v>5</v>
      </c>
      <c r="C8" s="1162"/>
      <c r="D8" s="428">
        <f>Application!O722</f>
        <v>1237</v>
      </c>
      <c r="E8" s="429"/>
      <c r="F8" s="1083"/>
      <c r="G8" s="428">
        <f t="shared" si="2"/>
        <v>0</v>
      </c>
      <c r="H8" s="429"/>
      <c r="I8" s="428" t="str">
        <f t="shared" si="0"/>
        <v/>
      </c>
      <c r="J8" s="428" t="str">
        <f t="shared" si="1"/>
        <v/>
      </c>
      <c r="K8" s="204"/>
      <c r="L8" s="305"/>
    </row>
    <row r="9" spans="1:12">
      <c r="A9" s="428" t="str">
        <f>Application!B723</f>
        <v>2 Bedrooms</v>
      </c>
      <c r="B9" s="1082">
        <f>Application!G723</f>
        <v>33</v>
      </c>
      <c r="C9" s="1162"/>
      <c r="D9" s="428">
        <f>Application!O723</f>
        <v>1520</v>
      </c>
      <c r="E9" s="429"/>
      <c r="F9" s="1083"/>
      <c r="G9" s="428">
        <f t="shared" si="2"/>
        <v>0</v>
      </c>
      <c r="H9" s="429"/>
      <c r="I9" s="428" t="str">
        <f t="shared" si="0"/>
        <v/>
      </c>
      <c r="J9" s="428" t="str">
        <f t="shared" si="1"/>
        <v/>
      </c>
      <c r="K9" s="204"/>
      <c r="L9" s="305"/>
    </row>
    <row r="10" spans="1:12">
      <c r="A10" s="428" t="str">
        <f>Application!B724</f>
        <v>3 Bedrooms</v>
      </c>
      <c r="B10" s="1082">
        <f>Application!G724</f>
        <v>3</v>
      </c>
      <c r="C10" s="1162"/>
      <c r="D10" s="428">
        <f>Application!O724</f>
        <v>773</v>
      </c>
      <c r="E10" s="429"/>
      <c r="F10" s="1083"/>
      <c r="G10" s="428">
        <f t="shared" si="2"/>
        <v>0</v>
      </c>
      <c r="H10" s="429"/>
      <c r="I10" s="428" t="str">
        <f t="shared" si="0"/>
        <v/>
      </c>
      <c r="J10" s="428" t="str">
        <f t="shared" si="1"/>
        <v/>
      </c>
      <c r="K10" s="204"/>
      <c r="L10" s="305"/>
    </row>
    <row r="11" spans="1:12">
      <c r="A11" s="428" t="str">
        <f>Application!B725</f>
        <v>3 Bedrooms</v>
      </c>
      <c r="B11" s="1082">
        <f>Application!G725</f>
        <v>3</v>
      </c>
      <c r="C11" s="1162"/>
      <c r="D11" s="428">
        <f>Application!O725</f>
        <v>1427</v>
      </c>
      <c r="E11" s="429"/>
      <c r="F11" s="1083"/>
      <c r="G11" s="428">
        <f t="shared" si="2"/>
        <v>0</v>
      </c>
      <c r="H11" s="429"/>
      <c r="I11" s="428" t="str">
        <f t="shared" si="0"/>
        <v/>
      </c>
      <c r="J11" s="428" t="str">
        <f t="shared" si="1"/>
        <v/>
      </c>
      <c r="K11" s="204"/>
      <c r="L11" s="305"/>
    </row>
    <row r="12" spans="1:12">
      <c r="A12" s="428" t="str">
        <f>Application!B726</f>
        <v>3 Bedrooms</v>
      </c>
      <c r="B12" s="1082">
        <f>Application!G726</f>
        <v>18</v>
      </c>
      <c r="C12" s="1162"/>
      <c r="D12" s="428">
        <f>Application!O726</f>
        <v>1755</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131499</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90" t="s">
        <v>2498</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2260</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6" workbookViewId="0">
      <selection activeCell="B66" sqref="B66"/>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1577988</v>
      </c>
      <c r="G4" s="219">
        <f>E4*$C$4</f>
        <v>1617437.7</v>
      </c>
      <c r="I4" s="219">
        <f>G4*$C$4</f>
        <v>1657873.6424999998</v>
      </c>
      <c r="K4" s="219">
        <f>I4*$C$4</f>
        <v>1699320.4835624998</v>
      </c>
      <c r="M4" s="219">
        <f>K4*$C$4</f>
        <v>1741803.495651562</v>
      </c>
      <c r="O4" s="219">
        <f>M4*$C$4</f>
        <v>1785348.583042851</v>
      </c>
      <c r="Q4" s="219">
        <f>O4*$C$4</f>
        <v>1829982.2976189221</v>
      </c>
      <c r="S4" s="219">
        <f>Q4*$C$4</f>
        <v>1875731.8550593951</v>
      </c>
      <c r="U4" s="219">
        <f>S4*$C$4</f>
        <v>1922625.1514358798</v>
      </c>
      <c r="W4" s="219">
        <f>U4*$C$4</f>
        <v>1970690.7802217766</v>
      </c>
      <c r="Y4" s="219">
        <f>W4*$C$4</f>
        <v>2019958.0497273209</v>
      </c>
      <c r="AA4" s="219">
        <f>Y4*$C$4</f>
        <v>2070457.0009705038</v>
      </c>
      <c r="AC4" s="219">
        <f>AA4*$C$4</f>
        <v>2122218.4259947664</v>
      </c>
      <c r="AE4" s="219">
        <f>AC4*$C$4</f>
        <v>2175273.8866446353</v>
      </c>
      <c r="AG4" s="219">
        <f>AE4*$C$4</f>
        <v>2229655.7338107512</v>
      </c>
    </row>
    <row r="5" spans="1:34" s="210" customFormat="1" ht="14.25">
      <c r="B5" s="210" t="s">
        <v>839</v>
      </c>
      <c r="C5" s="238">
        <f>IF(Application!$D$211="Special Needs",(((0.1*Application!$T$212)+(0.05*(1-Application!$T$212)))),0.05)</f>
        <v>0.05</v>
      </c>
      <c r="E5" s="221">
        <f>-E4*$C$5</f>
        <v>-78899.400000000009</v>
      </c>
      <c r="F5" s="221"/>
      <c r="G5" s="221">
        <f>-G4*$C$5</f>
        <v>-80871.885000000009</v>
      </c>
      <c r="H5" s="221"/>
      <c r="I5" s="221">
        <f>-I4*$C$5</f>
        <v>-82893.682124999992</v>
      </c>
      <c r="J5" s="221"/>
      <c r="K5" s="221">
        <f>-K4*$C$5</f>
        <v>-84966.024178124993</v>
      </c>
      <c r="L5" s="221"/>
      <c r="M5" s="221">
        <f>-M4*$C$5</f>
        <v>-87090.174782578106</v>
      </c>
      <c r="N5" s="221"/>
      <c r="O5" s="221">
        <f>-O4*$C$5</f>
        <v>-89267.429152142548</v>
      </c>
      <c r="P5" s="221"/>
      <c r="Q5" s="221">
        <f>-Q4*$C$5</f>
        <v>-91499.114880946116</v>
      </c>
      <c r="R5" s="221"/>
      <c r="S5" s="221">
        <f>-S4*$C$5</f>
        <v>-93786.592752969766</v>
      </c>
      <c r="T5" s="221"/>
      <c r="U5" s="221">
        <f>-U4*$C$5</f>
        <v>-96131.257571793991</v>
      </c>
      <c r="V5" s="221"/>
      <c r="W5" s="221">
        <f>-W4*$C$5</f>
        <v>-98534.53901108884</v>
      </c>
      <c r="X5" s="221"/>
      <c r="Y5" s="221">
        <f>-Y4*$C$5</f>
        <v>-100997.90248636605</v>
      </c>
      <c r="Z5" s="221"/>
      <c r="AA5" s="221">
        <f>-AA4*$C$5</f>
        <v>-103522.8500485252</v>
      </c>
      <c r="AB5" s="221"/>
      <c r="AC5" s="221">
        <f>-AC4*$C$5</f>
        <v>-106110.92129973833</v>
      </c>
      <c r="AD5" s="221"/>
      <c r="AE5" s="221">
        <f>-AE4*$C$5</f>
        <v>-108763.69433223177</v>
      </c>
      <c r="AF5" s="221"/>
      <c r="AG5" s="221">
        <f>-AG4*$C$5</f>
        <v>-111482.78669053757</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23040</v>
      </c>
      <c r="F8" s="222"/>
      <c r="G8" s="222">
        <f>E8*$C$8</f>
        <v>23615.999999999996</v>
      </c>
      <c r="H8" s="222"/>
      <c r="I8" s="222">
        <f>G8*$C$8</f>
        <v>24206.399999999994</v>
      </c>
      <c r="J8" s="222"/>
      <c r="K8" s="222">
        <f>I8*$C$8</f>
        <v>24811.55999999999</v>
      </c>
      <c r="L8" s="222"/>
      <c r="M8" s="222">
        <f>K8*$C$8</f>
        <v>25431.848999999987</v>
      </c>
      <c r="N8" s="222"/>
      <c r="O8" s="222">
        <f>M8*$C$8</f>
        <v>26067.645224999986</v>
      </c>
      <c r="P8" s="222"/>
      <c r="Q8" s="222">
        <f>O8*$C$8</f>
        <v>26719.336355624982</v>
      </c>
      <c r="R8" s="222"/>
      <c r="S8" s="222">
        <f>Q8*$C$8</f>
        <v>27387.319764515603</v>
      </c>
      <c r="T8" s="222"/>
      <c r="U8" s="222">
        <f>S8*$C$8</f>
        <v>28072.002758628492</v>
      </c>
      <c r="V8" s="222"/>
      <c r="W8" s="222">
        <f>U8*$C$8</f>
        <v>28773.802827594202</v>
      </c>
      <c r="X8" s="222"/>
      <c r="Y8" s="222">
        <f>W8*$C$8</f>
        <v>29493.147898284053</v>
      </c>
      <c r="Z8" s="222"/>
      <c r="AA8" s="222">
        <f>Y8*$C$8</f>
        <v>30230.476595741151</v>
      </c>
      <c r="AB8" s="222"/>
      <c r="AC8" s="222">
        <f>AA8*$C$8</f>
        <v>30986.238510634677</v>
      </c>
      <c r="AD8" s="222"/>
      <c r="AE8" s="222">
        <f>AC8*$C$8</f>
        <v>31760.894473400542</v>
      </c>
      <c r="AF8" s="222"/>
      <c r="AG8" s="222">
        <f>AE8*$C$8</f>
        <v>32554.916835235552</v>
      </c>
    </row>
    <row r="9" spans="1:34" s="210" customFormat="1" ht="14.25">
      <c r="B9" s="210" t="s">
        <v>839</v>
      </c>
      <c r="C9" s="238">
        <f>IF(Application!$D$211="Special Needs",(((0.1*Application!$T$212)+(0.05*(1-Application!$T$212)))),0.05)</f>
        <v>0.05</v>
      </c>
      <c r="E9" s="221">
        <f>-E8*$C$9</f>
        <v>-1152</v>
      </c>
      <c r="F9" s="221"/>
      <c r="G9" s="221">
        <f>-G8*$C$9</f>
        <v>-1180.8</v>
      </c>
      <c r="H9" s="221"/>
      <c r="I9" s="221">
        <f>-I8*$C$9</f>
        <v>-1210.3199999999997</v>
      </c>
      <c r="J9" s="221"/>
      <c r="K9" s="221">
        <f>-K8*$C$9</f>
        <v>-1240.5779999999995</v>
      </c>
      <c r="L9" s="221"/>
      <c r="M9" s="221">
        <f>-M8*$C$9</f>
        <v>-1271.5924499999994</v>
      </c>
      <c r="N9" s="221"/>
      <c r="O9" s="221">
        <f>-O8*$C$9</f>
        <v>-1303.3822612499994</v>
      </c>
      <c r="P9" s="221"/>
      <c r="Q9" s="221">
        <f>-Q8*$C$9</f>
        <v>-1335.9668177812491</v>
      </c>
      <c r="R9" s="221"/>
      <c r="S9" s="221">
        <f>-S8*$C$9</f>
        <v>-1369.3659882257803</v>
      </c>
      <c r="T9" s="221"/>
      <c r="U9" s="221">
        <f>-U8*$C$9</f>
        <v>-1403.6001379314248</v>
      </c>
      <c r="V9" s="221"/>
      <c r="W9" s="221">
        <f>-W8*$C$9</f>
        <v>-1438.6901413797102</v>
      </c>
      <c r="X9" s="221"/>
      <c r="Y9" s="221">
        <f>-Y8*$C$9</f>
        <v>-1474.6573949142028</v>
      </c>
      <c r="Z9" s="221"/>
      <c r="AA9" s="221">
        <f>-AA8*$C$9</f>
        <v>-1511.5238297870576</v>
      </c>
      <c r="AB9" s="221"/>
      <c r="AC9" s="221">
        <f>-AC8*$C$9</f>
        <v>-1549.311925531734</v>
      </c>
      <c r="AD9" s="221"/>
      <c r="AE9" s="221">
        <f>-AE8*$C$9</f>
        <v>-1588.0447236700272</v>
      </c>
      <c r="AF9" s="221"/>
      <c r="AG9" s="221">
        <f>-AG8*$C$9</f>
        <v>-1627.7458417617777</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1520976.6</v>
      </c>
      <c r="G11" s="223">
        <f>SUM(G4:G10)</f>
        <v>1559001.0149999999</v>
      </c>
      <c r="I11" s="223">
        <f>SUM(I4:I10)</f>
        <v>1597976.0403749996</v>
      </c>
      <c r="K11" s="223">
        <f>SUM(K4:K10)</f>
        <v>1637925.4413843749</v>
      </c>
      <c r="M11" s="223">
        <f>SUM(M4:M10)</f>
        <v>1678873.5774189837</v>
      </c>
      <c r="O11" s="223">
        <f>SUM(O4:O10)</f>
        <v>1720845.4168544586</v>
      </c>
      <c r="Q11" s="223">
        <f>SUM(Q4:Q10)</f>
        <v>1763866.5522758195</v>
      </c>
      <c r="S11" s="223">
        <f>SUM(S4:S10)</f>
        <v>1807963.2160827152</v>
      </c>
      <c r="U11" s="223">
        <f>SUM(U4:U10)</f>
        <v>1853162.2964847826</v>
      </c>
      <c r="W11" s="223">
        <f>SUM(W4:W10)</f>
        <v>1899491.3538969022</v>
      </c>
      <c r="Y11" s="223">
        <f>SUM(Y4:Y10)</f>
        <v>1946978.6377443247</v>
      </c>
      <c r="AA11" s="223">
        <f>SUM(AA4:AA10)</f>
        <v>1995653.1036879327</v>
      </c>
      <c r="AC11" s="223">
        <f>SUM(AC4:AC10)</f>
        <v>2045544.431280131</v>
      </c>
      <c r="AE11" s="223">
        <f>SUM(AE4:AE10)</f>
        <v>2096683.042062134</v>
      </c>
      <c r="AG11" s="223">
        <f>SUM(AG4:AG10)</f>
        <v>2149100.1181136877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62400</v>
      </c>
      <c r="G15" s="219">
        <f>E15*$C$14</f>
        <v>64583.999999999993</v>
      </c>
      <c r="I15" s="219">
        <f>G15*$C$14</f>
        <v>66844.439999999988</v>
      </c>
      <c r="K15" s="219">
        <f>I15*$C$14</f>
        <v>69183.995399999985</v>
      </c>
      <c r="M15" s="219">
        <f>K15*$C$14</f>
        <v>71605.435238999984</v>
      </c>
      <c r="O15" s="219">
        <f>M15*$C$14</f>
        <v>74111.625472364976</v>
      </c>
      <c r="Q15" s="219">
        <f>O15*$C$14</f>
        <v>76705.532363897742</v>
      </c>
      <c r="S15" s="219">
        <f>Q15*$C$14</f>
        <v>79390.225996634152</v>
      </c>
      <c r="U15" s="219">
        <f>S15*$C$14</f>
        <v>82168.883906516334</v>
      </c>
      <c r="W15" s="219">
        <f>U15*$C$14</f>
        <v>85044.794843244395</v>
      </c>
      <c r="Y15" s="219">
        <f>W15*$C$14</f>
        <v>88021.362662757936</v>
      </c>
      <c r="AA15" s="219">
        <f>Y15*$C$14</f>
        <v>91102.110355954457</v>
      </c>
      <c r="AC15" s="219">
        <f>AA15*$C$14</f>
        <v>94290.684218412862</v>
      </c>
      <c r="AE15" s="219">
        <f>AC15*$C$14</f>
        <v>97590.858166057311</v>
      </c>
      <c r="AG15" s="219">
        <f>AE15*$C$14</f>
        <v>101006.53820186931</v>
      </c>
    </row>
    <row r="16" spans="1:34" s="210" customFormat="1" ht="14.25">
      <c r="A16" s="210" t="s">
        <v>344</v>
      </c>
      <c r="C16" s="233"/>
      <c r="E16" s="222">
        <f>Application!W849</f>
        <v>69120</v>
      </c>
      <c r="F16" s="222"/>
      <c r="G16" s="222">
        <f t="shared" ref="G16:AG21" si="0">E16*$C$14</f>
        <v>71539.199999999997</v>
      </c>
      <c r="H16" s="222"/>
      <c r="I16" s="222">
        <f t="shared" si="0"/>
        <v>74043.071999999986</v>
      </c>
      <c r="J16" s="222"/>
      <c r="K16" s="222">
        <f t="shared" si="0"/>
        <v>76634.579519999985</v>
      </c>
      <c r="L16" s="222"/>
      <c r="M16" s="222">
        <f t="shared" si="0"/>
        <v>79316.789803199979</v>
      </c>
      <c r="N16" s="222"/>
      <c r="O16" s="222">
        <f t="shared" si="0"/>
        <v>82092.877446311977</v>
      </c>
      <c r="P16" s="222"/>
      <c r="Q16" s="222">
        <f t="shared" si="0"/>
        <v>84966.128156932886</v>
      </c>
      <c r="R16" s="222"/>
      <c r="S16" s="222">
        <f t="shared" si="0"/>
        <v>87939.942642425536</v>
      </c>
      <c r="T16" s="222"/>
      <c r="U16" s="222">
        <f t="shared" si="0"/>
        <v>91017.840634910419</v>
      </c>
      <c r="V16" s="222"/>
      <c r="W16" s="222">
        <f t="shared" si="0"/>
        <v>94203.465057132271</v>
      </c>
      <c r="X16" s="222"/>
      <c r="Y16" s="222">
        <f t="shared" si="0"/>
        <v>97500.586334131891</v>
      </c>
      <c r="Z16" s="222"/>
      <c r="AA16" s="222">
        <f t="shared" si="0"/>
        <v>100913.1068558265</v>
      </c>
      <c r="AB16" s="222"/>
      <c r="AC16" s="222">
        <f t="shared" si="0"/>
        <v>104445.06559578041</v>
      </c>
      <c r="AD16" s="222"/>
      <c r="AE16" s="222">
        <f t="shared" si="0"/>
        <v>108100.64289163271</v>
      </c>
      <c r="AF16" s="222"/>
      <c r="AG16" s="222">
        <f t="shared" si="0"/>
        <v>111884.16539283984</v>
      </c>
    </row>
    <row r="17" spans="1:33" s="210" customFormat="1" ht="14.25">
      <c r="A17" s="210" t="s">
        <v>562</v>
      </c>
      <c r="C17" s="233"/>
      <c r="E17" s="222">
        <f>Application!W855</f>
        <v>108864</v>
      </c>
      <c r="F17" s="222"/>
      <c r="G17" s="222">
        <f t="shared" si="0"/>
        <v>112674.23999999999</v>
      </c>
      <c r="H17" s="222"/>
      <c r="I17" s="222">
        <f t="shared" si="0"/>
        <v>116617.83839999998</v>
      </c>
      <c r="J17" s="222"/>
      <c r="K17" s="222">
        <f t="shared" si="0"/>
        <v>120699.46274399997</v>
      </c>
      <c r="L17" s="222"/>
      <c r="M17" s="222">
        <f t="shared" si="0"/>
        <v>124923.94394003997</v>
      </c>
      <c r="N17" s="222"/>
      <c r="O17" s="222">
        <f t="shared" si="0"/>
        <v>129296.28197794135</v>
      </c>
      <c r="P17" s="222"/>
      <c r="Q17" s="222">
        <f t="shared" si="0"/>
        <v>133821.6518471693</v>
      </c>
      <c r="R17" s="222"/>
      <c r="S17" s="222">
        <f t="shared" si="0"/>
        <v>138505.40966182022</v>
      </c>
      <c r="T17" s="222"/>
      <c r="U17" s="222">
        <f t="shared" si="0"/>
        <v>143353.09899998392</v>
      </c>
      <c r="V17" s="222"/>
      <c r="W17" s="222">
        <f t="shared" si="0"/>
        <v>148370.45746498334</v>
      </c>
      <c r="X17" s="222"/>
      <c r="Y17" s="222">
        <f t="shared" si="0"/>
        <v>153563.42347625774</v>
      </c>
      <c r="Z17" s="222"/>
      <c r="AA17" s="222">
        <f t="shared" si="0"/>
        <v>158938.14329792676</v>
      </c>
      <c r="AB17" s="222"/>
      <c r="AC17" s="222">
        <f t="shared" si="0"/>
        <v>164500.97831335419</v>
      </c>
      <c r="AD17" s="222"/>
      <c r="AE17" s="222">
        <f t="shared" si="0"/>
        <v>170258.51255432158</v>
      </c>
      <c r="AF17" s="222"/>
      <c r="AG17" s="222">
        <f t="shared" si="0"/>
        <v>176217.56049372282</v>
      </c>
    </row>
    <row r="18" spans="1:33" s="210" customFormat="1" ht="14.25">
      <c r="A18" s="210" t="s">
        <v>843</v>
      </c>
      <c r="C18" s="233"/>
      <c r="E18" s="222">
        <f>Application!W862</f>
        <v>117600</v>
      </c>
      <c r="F18" s="222"/>
      <c r="G18" s="222">
        <f t="shared" si="0"/>
        <v>121715.99999999999</v>
      </c>
      <c r="H18" s="222"/>
      <c r="I18" s="222">
        <f t="shared" si="0"/>
        <v>125976.05999999997</v>
      </c>
      <c r="J18" s="222"/>
      <c r="K18" s="222">
        <f t="shared" si="0"/>
        <v>130385.22209999996</v>
      </c>
      <c r="L18" s="222"/>
      <c r="M18" s="222">
        <f t="shared" si="0"/>
        <v>134948.70487349996</v>
      </c>
      <c r="N18" s="222"/>
      <c r="O18" s="222">
        <f t="shared" si="0"/>
        <v>139671.90954407243</v>
      </c>
      <c r="P18" s="222"/>
      <c r="Q18" s="222">
        <f t="shared" si="0"/>
        <v>144560.42637811496</v>
      </c>
      <c r="R18" s="222"/>
      <c r="S18" s="222">
        <f t="shared" si="0"/>
        <v>149620.04130134897</v>
      </c>
      <c r="T18" s="222"/>
      <c r="U18" s="222">
        <f t="shared" si="0"/>
        <v>154856.74274689617</v>
      </c>
      <c r="V18" s="222"/>
      <c r="W18" s="222">
        <f t="shared" si="0"/>
        <v>160276.72874303753</v>
      </c>
      <c r="X18" s="222"/>
      <c r="Y18" s="222">
        <f t="shared" si="0"/>
        <v>165886.41424904382</v>
      </c>
      <c r="Z18" s="222"/>
      <c r="AA18" s="222">
        <f t="shared" si="0"/>
        <v>171692.43874776034</v>
      </c>
      <c r="AB18" s="222"/>
      <c r="AC18" s="222">
        <f t="shared" si="0"/>
        <v>177701.67410393193</v>
      </c>
      <c r="AD18" s="222"/>
      <c r="AE18" s="222">
        <f t="shared" si="0"/>
        <v>183921.23269756953</v>
      </c>
      <c r="AF18" s="222"/>
      <c r="AG18" s="222">
        <f t="shared" si="0"/>
        <v>190358.47584198444</v>
      </c>
    </row>
    <row r="19" spans="1:33" s="210" customFormat="1" ht="14.25">
      <c r="A19" s="210" t="s">
        <v>155</v>
      </c>
      <c r="C19" s="233"/>
      <c r="E19" s="222">
        <f>Application!W863</f>
        <v>52408.319999999992</v>
      </c>
      <c r="F19" s="222"/>
      <c r="G19" s="222">
        <f t="shared" si="0"/>
        <v>54242.611199999985</v>
      </c>
      <c r="H19" s="222"/>
      <c r="I19" s="222">
        <f t="shared" si="0"/>
        <v>56141.102591999981</v>
      </c>
      <c r="J19" s="222"/>
      <c r="K19" s="222">
        <f t="shared" si="0"/>
        <v>58106.041182719979</v>
      </c>
      <c r="L19" s="222"/>
      <c r="M19" s="222">
        <f t="shared" si="0"/>
        <v>60139.752624115172</v>
      </c>
      <c r="N19" s="222"/>
      <c r="O19" s="222">
        <f t="shared" si="0"/>
        <v>62244.6439659592</v>
      </c>
      <c r="P19" s="222"/>
      <c r="Q19" s="222">
        <f t="shared" si="0"/>
        <v>64423.206504767768</v>
      </c>
      <c r="R19" s="222"/>
      <c r="S19" s="222">
        <f t="shared" si="0"/>
        <v>66678.018732434633</v>
      </c>
      <c r="T19" s="222"/>
      <c r="U19" s="222">
        <f t="shared" si="0"/>
        <v>69011.749388069846</v>
      </c>
      <c r="V19" s="222"/>
      <c r="W19" s="222">
        <f t="shared" si="0"/>
        <v>71427.160616652283</v>
      </c>
      <c r="X19" s="222"/>
      <c r="Y19" s="222">
        <f t="shared" si="0"/>
        <v>73927.111238235113</v>
      </c>
      <c r="Z19" s="222"/>
      <c r="AA19" s="222">
        <f t="shared" si="0"/>
        <v>76514.560131573337</v>
      </c>
      <c r="AB19" s="222"/>
      <c r="AC19" s="222">
        <f t="shared" si="0"/>
        <v>79192.569736178397</v>
      </c>
      <c r="AD19" s="222"/>
      <c r="AE19" s="222">
        <f t="shared" si="0"/>
        <v>81964.309676944627</v>
      </c>
      <c r="AF19" s="222"/>
      <c r="AG19" s="222">
        <f t="shared" si="0"/>
        <v>84833.060515637684</v>
      </c>
    </row>
    <row r="20" spans="1:33" s="210" customFormat="1" ht="14.25">
      <c r="A20" s="210" t="s">
        <v>390</v>
      </c>
      <c r="C20" s="233"/>
      <c r="E20" s="222">
        <f>Application!W872</f>
        <v>67200</v>
      </c>
      <c r="F20" s="222"/>
      <c r="G20" s="222">
        <f t="shared" si="0"/>
        <v>69552</v>
      </c>
      <c r="H20" s="222"/>
      <c r="I20" s="222">
        <f t="shared" si="0"/>
        <v>71986.319999999992</v>
      </c>
      <c r="J20" s="222"/>
      <c r="K20" s="222">
        <f t="shared" si="0"/>
        <v>74505.841199999981</v>
      </c>
      <c r="L20" s="222"/>
      <c r="M20" s="222">
        <f t="shared" si="0"/>
        <v>77113.545641999968</v>
      </c>
      <c r="N20" s="222"/>
      <c r="O20" s="222">
        <f t="shared" si="0"/>
        <v>79812.519739469964</v>
      </c>
      <c r="P20" s="222"/>
      <c r="Q20" s="222">
        <f t="shared" si="0"/>
        <v>82605.957930351404</v>
      </c>
      <c r="R20" s="222"/>
      <c r="S20" s="222">
        <f t="shared" si="0"/>
        <v>85497.1664579137</v>
      </c>
      <c r="T20" s="222"/>
      <c r="U20" s="222">
        <f t="shared" si="0"/>
        <v>88489.567283940676</v>
      </c>
      <c r="V20" s="222"/>
      <c r="W20" s="222">
        <f t="shared" si="0"/>
        <v>91586.702138878594</v>
      </c>
      <c r="X20" s="222"/>
      <c r="Y20" s="222">
        <f t="shared" si="0"/>
        <v>94792.236713739345</v>
      </c>
      <c r="Z20" s="222"/>
      <c r="AA20" s="222">
        <f t="shared" si="0"/>
        <v>98109.964998720214</v>
      </c>
      <c r="AB20" s="222"/>
      <c r="AC20" s="222">
        <f t="shared" si="0"/>
        <v>101543.81377367541</v>
      </c>
      <c r="AD20" s="222"/>
      <c r="AE20" s="222">
        <f t="shared" si="0"/>
        <v>105097.84725575405</v>
      </c>
      <c r="AF20" s="222"/>
      <c r="AG20" s="222">
        <f t="shared" si="0"/>
        <v>108776.27190970544</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477592.32000000001</v>
      </c>
      <c r="G22" s="223">
        <f>SUM(G15:G21)</f>
        <v>494308.05119999993</v>
      </c>
      <c r="I22" s="223">
        <f>SUM(I15:I21)</f>
        <v>511608.83299199992</v>
      </c>
      <c r="K22" s="223">
        <f>SUM(K15:K21)</f>
        <v>529515.14214671985</v>
      </c>
      <c r="M22" s="223">
        <f>SUM(M15:M21)</f>
        <v>548048.17212185496</v>
      </c>
      <c r="O22" s="223">
        <f>SUM(O15:O21)</f>
        <v>567229.85814611986</v>
      </c>
      <c r="Q22" s="223">
        <f>SUM(Q15:Q21)</f>
        <v>587082.90318123403</v>
      </c>
      <c r="S22" s="223">
        <f>SUM(S15:S21)</f>
        <v>607630.80479257717</v>
      </c>
      <c r="U22" s="223">
        <f>SUM(U15:U21)</f>
        <v>628897.88296031742</v>
      </c>
      <c r="W22" s="223">
        <f>SUM(W15:W21)</f>
        <v>650909.30886392854</v>
      </c>
      <c r="Y22" s="223">
        <f>SUM(Y15:Y21)</f>
        <v>673691.13467416586</v>
      </c>
      <c r="AA22" s="223">
        <f>SUM(AA15:AA21)</f>
        <v>697270.32438776165</v>
      </c>
      <c r="AC22" s="223">
        <f>SUM(AC15:AC21)</f>
        <v>721674.78574133315</v>
      </c>
      <c r="AE22" s="223">
        <f>SUM(AE15:AE21)</f>
        <v>746933.40324227978</v>
      </c>
      <c r="AG22" s="223">
        <f>SUM(AG15:AG21)</f>
        <v>773076.07235575968</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25">
      <c r="A28" s="210" t="s">
        <v>847</v>
      </c>
      <c r="C28" s="237"/>
      <c r="E28" s="222">
        <f>Application!AC889</f>
        <v>24000</v>
      </c>
      <c r="F28" s="222"/>
      <c r="G28" s="222">
        <f>$E$28</f>
        <v>24000</v>
      </c>
      <c r="H28" s="222"/>
      <c r="I28" s="222">
        <f>$E$28</f>
        <v>24000</v>
      </c>
      <c r="J28" s="222"/>
      <c r="K28" s="222">
        <f>$E$28</f>
        <v>24000</v>
      </c>
      <c r="L28" s="222"/>
      <c r="M28" s="222">
        <f>$E$28</f>
        <v>24000</v>
      </c>
      <c r="N28" s="222"/>
      <c r="O28" s="222">
        <f>$E$28</f>
        <v>24000</v>
      </c>
      <c r="P28" s="222"/>
      <c r="Q28" s="222">
        <f>$E$28</f>
        <v>24000</v>
      </c>
      <c r="R28" s="222"/>
      <c r="S28" s="222">
        <f>$E$28</f>
        <v>24000</v>
      </c>
      <c r="T28" s="222"/>
      <c r="U28" s="222">
        <f>$E$28</f>
        <v>24000</v>
      </c>
      <c r="V28" s="222"/>
      <c r="W28" s="222">
        <f>$E$28</f>
        <v>24000</v>
      </c>
      <c r="X28" s="222"/>
      <c r="Y28" s="222">
        <f>$E$28</f>
        <v>24000</v>
      </c>
      <c r="Z28" s="222"/>
      <c r="AA28" s="222">
        <f>$E$28</f>
        <v>24000</v>
      </c>
      <c r="AB28" s="222"/>
      <c r="AC28" s="222">
        <f>$E$28</f>
        <v>24000</v>
      </c>
      <c r="AD28" s="222"/>
      <c r="AE28" s="222">
        <f>$E$28</f>
        <v>24000</v>
      </c>
      <c r="AF28" s="222"/>
      <c r="AG28" s="222">
        <f>$E$28</f>
        <v>24000</v>
      </c>
    </row>
    <row r="29" spans="1:33" s="210" customFormat="1" ht="14.25">
      <c r="A29" s="210" t="s">
        <v>1681</v>
      </c>
      <c r="C29" s="237"/>
      <c r="E29" s="222">
        <f>Application!AC890</f>
        <v>6695</v>
      </c>
      <c r="F29" s="222"/>
      <c r="G29" s="222">
        <f>$E$29</f>
        <v>6695</v>
      </c>
      <c r="H29" s="222"/>
      <c r="I29" s="222">
        <f>$E$29</f>
        <v>6695</v>
      </c>
      <c r="J29" s="222"/>
      <c r="K29" s="222">
        <f>$E$29</f>
        <v>6695</v>
      </c>
      <c r="L29" s="222"/>
      <c r="M29" s="222">
        <f>$E$29</f>
        <v>6695</v>
      </c>
      <c r="N29" s="222"/>
      <c r="O29" s="222">
        <f>$E$29</f>
        <v>6695</v>
      </c>
      <c r="P29" s="222"/>
      <c r="Q29" s="222">
        <f>$E$29</f>
        <v>6695</v>
      </c>
      <c r="R29" s="222"/>
      <c r="S29" s="222">
        <f>$E$29</f>
        <v>6695</v>
      </c>
      <c r="T29" s="222"/>
      <c r="U29" s="222">
        <f>$E$29</f>
        <v>6695</v>
      </c>
      <c r="V29" s="222"/>
      <c r="W29" s="222">
        <f>$E$29</f>
        <v>6695</v>
      </c>
      <c r="X29" s="222"/>
      <c r="Y29" s="222">
        <f>$E$29</f>
        <v>6695</v>
      </c>
      <c r="Z29" s="222"/>
      <c r="AA29" s="222">
        <f>$E$29</f>
        <v>6695</v>
      </c>
      <c r="AB29" s="222"/>
      <c r="AC29" s="222">
        <f>$E$29</f>
        <v>6695</v>
      </c>
      <c r="AD29" s="222"/>
      <c r="AE29" s="222">
        <f>$E$29</f>
        <v>6695</v>
      </c>
      <c r="AF29" s="222"/>
      <c r="AG29" s="222">
        <f>$E$29</f>
        <v>6695</v>
      </c>
    </row>
    <row r="30" spans="1:33" s="210" customFormat="1" ht="14.25">
      <c r="A30" s="210" t="s">
        <v>845</v>
      </c>
      <c r="C30" s="237">
        <v>1.02</v>
      </c>
      <c r="E30" s="222">
        <f>Application!AC891</f>
        <v>3360</v>
      </c>
      <c r="F30" s="222"/>
      <c r="G30" s="222">
        <f>E30*$C$30</f>
        <v>3427.2000000000003</v>
      </c>
      <c r="H30" s="222"/>
      <c r="I30" s="222">
        <f>G30*$C$30</f>
        <v>3495.7440000000001</v>
      </c>
      <c r="J30" s="222"/>
      <c r="K30" s="222">
        <f>I30*$C$30</f>
        <v>3565.6588800000004</v>
      </c>
      <c r="L30" s="222"/>
      <c r="M30" s="222">
        <f>K30*$C$30</f>
        <v>3636.9720576000004</v>
      </c>
      <c r="N30" s="222"/>
      <c r="O30" s="222">
        <f>M30*$C$30</f>
        <v>3709.7114987520004</v>
      </c>
      <c r="P30" s="222"/>
      <c r="Q30" s="222">
        <f>O30*$C$30</f>
        <v>3783.9057287270402</v>
      </c>
      <c r="R30" s="222"/>
      <c r="S30" s="222">
        <f>Q30*$C$30</f>
        <v>3859.5838433015811</v>
      </c>
      <c r="T30" s="222"/>
      <c r="U30" s="222">
        <f>S30*$C$30</f>
        <v>3936.7755201676127</v>
      </c>
      <c r="V30" s="222"/>
      <c r="W30" s="222">
        <f>U30*$C$30</f>
        <v>4015.511030570965</v>
      </c>
      <c r="X30" s="222"/>
      <c r="Y30" s="222">
        <f>W30*$C$30</f>
        <v>4095.8212511823845</v>
      </c>
      <c r="Z30" s="222"/>
      <c r="AA30" s="222">
        <f>Y30*$C$30</f>
        <v>4177.7376762060321</v>
      </c>
      <c r="AB30" s="222"/>
      <c r="AC30" s="222">
        <f>AA30*$C$30</f>
        <v>4261.2924297301524</v>
      </c>
      <c r="AD30" s="222"/>
      <c r="AE30" s="222">
        <f>AC30*$C$30</f>
        <v>4346.5182783247556</v>
      </c>
      <c r="AF30" s="222"/>
      <c r="AG30" s="222">
        <f>AE30*$C$30</f>
        <v>4433.4486438912509</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536647.32000000007</v>
      </c>
      <c r="G35" s="223">
        <f>SUM(G22:G33)</f>
        <v>554305.25119999982</v>
      </c>
      <c r="I35" s="223">
        <f>SUM(I22:I33)</f>
        <v>572580.20199199987</v>
      </c>
      <c r="K35" s="223">
        <f>SUM(K22:K33)</f>
        <v>591493.74790171988</v>
      </c>
      <c r="M35" s="223">
        <f>SUM(M22:M33)</f>
        <v>611068.21919507999</v>
      </c>
      <c r="O35" s="223">
        <f>SUM(O22:O33)</f>
        <v>631326.72728604369</v>
      </c>
      <c r="Q35" s="223">
        <f>SUM(Q22:Q33)</f>
        <v>652293.1920685739</v>
      </c>
      <c r="S35" s="223">
        <f>SUM(S22:S33)</f>
        <v>673992.37020504312</v>
      </c>
      <c r="U35" s="223">
        <f>SUM(U22:U33)</f>
        <v>696449.88440457021</v>
      </c>
      <c r="W35" s="223">
        <f>SUM(W22:W33)</f>
        <v>719692.25372592756</v>
      </c>
      <c r="Y35" s="223">
        <f>SUM(Y22:Y33)</f>
        <v>743746.9249408762</v>
      </c>
      <c r="AA35" s="223">
        <f>SUM(AA22:AA33)</f>
        <v>768642.30499503925</v>
      </c>
      <c r="AC35" s="223">
        <f>SUM(AC22:AC33)</f>
        <v>794407.79460472229</v>
      </c>
      <c r="AE35" s="223">
        <f>SUM(AE22:AE33)</f>
        <v>821073.82302944153</v>
      </c>
      <c r="AG35" s="223">
        <f>SUM(AG22:AG33)</f>
        <v>848671.88406129729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984329.28</v>
      </c>
      <c r="G37" s="223">
        <f>G11-G35</f>
        <v>1004695.7638000001</v>
      </c>
      <c r="I37" s="223">
        <f>I11-I35</f>
        <v>1025395.8383829998</v>
      </c>
      <c r="K37" s="223">
        <f>K11-K35</f>
        <v>1046431.693482655</v>
      </c>
      <c r="M37" s="223">
        <f>M11-M35</f>
        <v>1067805.3582239037</v>
      </c>
      <c r="O37" s="223">
        <f>O11-O35</f>
        <v>1089518.6895684148</v>
      </c>
      <c r="Q37" s="223">
        <f>Q11-Q35</f>
        <v>1111573.3602072457</v>
      </c>
      <c r="S37" s="223">
        <f>S11-S35</f>
        <v>1133970.8458776721</v>
      </c>
      <c r="U37" s="223">
        <f>U11-U35</f>
        <v>1156712.4120802125</v>
      </c>
      <c r="W37" s="223">
        <f>W11-W35</f>
        <v>1179799.1001709746</v>
      </c>
      <c r="Y37" s="223">
        <f>Y11-Y35</f>
        <v>1203231.7128034486</v>
      </c>
      <c r="AA37" s="223">
        <f>AA11-AA35</f>
        <v>1227010.7986928935</v>
      </c>
      <c r="AC37" s="223">
        <f>AC11-AC35</f>
        <v>1251136.6366754086</v>
      </c>
      <c r="AE37" s="223">
        <f>AE11-AE35</f>
        <v>1275609.2190326925</v>
      </c>
      <c r="AG37" s="223">
        <f>AG11-AG35</f>
        <v>1300428.2340523903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Community Capital</v>
      </c>
      <c r="B40" s="226"/>
      <c r="C40" s="220"/>
      <c r="E40" s="222">
        <f>Application!AF627</f>
        <v>855358.45754951029</v>
      </c>
      <c r="F40" s="222"/>
      <c r="G40" s="222">
        <f>$E$40</f>
        <v>855358.45754951029</v>
      </c>
      <c r="H40" s="222"/>
      <c r="I40" s="222">
        <f>$E$40</f>
        <v>855358.45754951029</v>
      </c>
      <c r="J40" s="222"/>
      <c r="K40" s="222">
        <f>$E$40</f>
        <v>855358.45754951029</v>
      </c>
      <c r="L40" s="222"/>
      <c r="M40" s="222">
        <f>$E$40</f>
        <v>855358.45754951029</v>
      </c>
      <c r="N40" s="222"/>
      <c r="O40" s="222">
        <f>$E$40</f>
        <v>855358.45754951029</v>
      </c>
      <c r="P40" s="222"/>
      <c r="Q40" s="222">
        <f>$E$40</f>
        <v>855358.45754951029</v>
      </c>
      <c r="R40" s="222"/>
      <c r="S40" s="222">
        <f>$E$40</f>
        <v>855358.45754951029</v>
      </c>
      <c r="T40" s="222"/>
      <c r="U40" s="222">
        <f>$E$40</f>
        <v>855358.45754951029</v>
      </c>
      <c r="V40" s="222"/>
      <c r="W40" s="222">
        <f>$E$40</f>
        <v>855358.45754951029</v>
      </c>
      <c r="X40" s="222"/>
      <c r="Y40" s="222">
        <f>$E$40</f>
        <v>855358.45754951029</v>
      </c>
      <c r="Z40" s="222"/>
      <c r="AA40" s="222">
        <f>$E$40</f>
        <v>855358.45754951029</v>
      </c>
      <c r="AB40" s="222"/>
      <c r="AC40" s="222">
        <f>$E$40</f>
        <v>855358.45754951029</v>
      </c>
      <c r="AD40" s="222"/>
      <c r="AE40" s="222">
        <f>$E$40</f>
        <v>855358.45754951029</v>
      </c>
      <c r="AF40" s="222"/>
      <c r="AG40" s="222">
        <f>$E$40</f>
        <v>855358.45754951029</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855358.45754951029</v>
      </c>
      <c r="G43" s="223">
        <f>SUM(G40:G42)</f>
        <v>855358.45754951029</v>
      </c>
      <c r="I43" s="223">
        <f>SUM(I40:I42)</f>
        <v>855358.45754951029</v>
      </c>
      <c r="K43" s="223">
        <f>SUM(K40:K42)</f>
        <v>855358.45754951029</v>
      </c>
      <c r="M43" s="223">
        <f>SUM(M40:M42)</f>
        <v>855358.45754951029</v>
      </c>
      <c r="O43" s="223">
        <f>SUM(O40:O42)</f>
        <v>855358.45754951029</v>
      </c>
      <c r="Q43" s="223">
        <f>SUM(Q40:Q42)</f>
        <v>855358.45754951029</v>
      </c>
      <c r="S43" s="223">
        <f>SUM(S40:S42)</f>
        <v>855358.45754951029</v>
      </c>
      <c r="U43" s="223">
        <f>SUM(U40:U42)</f>
        <v>855358.45754951029</v>
      </c>
      <c r="W43" s="223">
        <f>SUM(W40:W42)</f>
        <v>855358.45754951029</v>
      </c>
      <c r="Y43" s="223">
        <f>SUM(Y40:Y42)</f>
        <v>855358.45754951029</v>
      </c>
      <c r="AA43" s="223">
        <f>SUM(AA40:AA42)</f>
        <v>855358.45754951029</v>
      </c>
      <c r="AC43" s="223">
        <f>SUM(AC40:AC42)</f>
        <v>855358.45754951029</v>
      </c>
      <c r="AE43" s="223">
        <f>SUM(AE40:AE42)</f>
        <v>855358.45754951029</v>
      </c>
      <c r="AG43" s="223">
        <f>SUM(AG40:AG42)</f>
        <v>855358.45754951029</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128970.82245048974</v>
      </c>
      <c r="G45" s="223">
        <f>G37-G43</f>
        <v>149337.30625048978</v>
      </c>
      <c r="I45" s="223">
        <f>I37-I43</f>
        <v>170037.38083348947</v>
      </c>
      <c r="K45" s="223">
        <f>K37-K43</f>
        <v>191073.23593314469</v>
      </c>
      <c r="M45" s="223">
        <f>M37-M43</f>
        <v>212446.9006743934</v>
      </c>
      <c r="O45" s="223">
        <f>O37-O43</f>
        <v>234160.23201890453</v>
      </c>
      <c r="Q45" s="223">
        <f>Q37-Q43</f>
        <v>256214.90265773539</v>
      </c>
      <c r="S45" s="223">
        <f>S37-S43</f>
        <v>278612.38832816179</v>
      </c>
      <c r="U45" s="223">
        <f>U37-U43</f>
        <v>301353.95453070221</v>
      </c>
      <c r="W45" s="223">
        <f>W37-W43</f>
        <v>324440.64262146433</v>
      </c>
      <c r="Y45" s="223">
        <f>Y37-Y43</f>
        <v>347873.25525393826</v>
      </c>
      <c r="AA45" s="223">
        <f>AA37-AA43</f>
        <v>371652.34114338318</v>
      </c>
      <c r="AC45" s="223">
        <f>AC37-AC43</f>
        <v>395778.17912589828</v>
      </c>
      <c r="AE45" s="223">
        <f>AE37-AE43</f>
        <v>420250.7614831822</v>
      </c>
      <c r="AG45" s="223">
        <f>AG37-AG43</f>
        <v>445069.77650288003</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8.0555007439276349E-2</v>
      </c>
      <c r="G47" s="227">
        <f>G45/(G4+G6+G8)</f>
        <v>9.1000865023789165E-2</v>
      </c>
      <c r="I47" s="227">
        <f>I45/(I4+I6+I8)</f>
        <v>0.10108756809263998</v>
      </c>
      <c r="K47" s="227">
        <f>K45/(K4+K6+K8)</f>
        <v>0.11082285527176811</v>
      </c>
      <c r="M47" s="227">
        <f>M45/(M4+M6+M8)</f>
        <v>0.12021426649107712</v>
      </c>
      <c r="O47" s="227">
        <f>O45/(O4+O6+O8)</f>
        <v>0.12926914773354878</v>
      </c>
      <c r="Q47" s="227">
        <f>Q45/(Q4+Q6+Q8)</f>
        <v>0.13799465566757171</v>
      </c>
      <c r="S47" s="227">
        <f>S45/(S4+S6+S8)</f>
        <v>0.1463977621653362</v>
      </c>
      <c r="U47" s="227">
        <f>U45/(U4+U6+U8)</f>
        <v>0.15448525871005273</v>
      </c>
      <c r="W47" s="227">
        <f>W45/(W4+W6+W8)</f>
        <v>0.16226376069470658</v>
      </c>
      <c r="Y47" s="227">
        <f>Y45/(Y4+Y6+Y8)</f>
        <v>0.16973971161497645</v>
      </c>
      <c r="AA47" s="227">
        <f>AA45/(AA4+AA6+AA8)</f>
        <v>0.1769193871588941</v>
      </c>
      <c r="AC47" s="227">
        <f>AC45/(AC4+AC6+AC8)</f>
        <v>0.18380889919575294</v>
      </c>
      <c r="AE47" s="227">
        <f>AE45/(AE4+AE6+AE8)</f>
        <v>0.19041419966670953</v>
      </c>
      <c r="AG47" s="227">
        <f>AG45/(AG4+AG6+AG8)</f>
        <v>0.19674108437947099</v>
      </c>
    </row>
    <row r="48" spans="1:33" s="227" customFormat="1" ht="14.25">
      <c r="A48" s="227" t="s">
        <v>853</v>
      </c>
      <c r="C48" s="220"/>
      <c r="E48" s="227">
        <f>E45/E43</f>
        <v>0.15077985295191237</v>
      </c>
      <c r="G48" s="227">
        <f>G45/G43</f>
        <v>0.17459031933620153</v>
      </c>
      <c r="I48" s="227">
        <f>I45/I43</f>
        <v>0.19879078687153484</v>
      </c>
      <c r="K48" s="227">
        <f>K45/K43</f>
        <v>0.22338381557662321</v>
      </c>
      <c r="M48" s="227">
        <f>M45/M43</f>
        <v>0.24837177770244523</v>
      </c>
      <c r="O48" s="227">
        <f>O45/O43</f>
        <v>0.27375684422381563</v>
      </c>
      <c r="Q48" s="227">
        <f>Q45/Q43</f>
        <v>0.29954097068468516</v>
      </c>
      <c r="S48" s="227">
        <f>S45/S43</f>
        <v>0.32572588237024008</v>
      </c>
      <c r="U48" s="227">
        <f>U45/U43</f>
        <v>0.3523130587777687</v>
      </c>
      <c r="W48" s="227">
        <f>W45/W43</f>
        <v>0.37930371735721674</v>
      </c>
      <c r="Y48" s="227">
        <f>Y45/Y43</f>
        <v>0.4066987964911804</v>
      </c>
      <c r="AA48" s="227">
        <f>AA45/AA43</f>
        <v>0.43449893768294329</v>
      </c>
      <c r="AC48" s="227">
        <f>AC45/AC43</f>
        <v>0.46270446691992828</v>
      </c>
      <c r="AE48" s="227">
        <f>AE45/AE43</f>
        <v>0.49131537517866541</v>
      </c>
      <c r="AG48" s="227">
        <f>AG45/AG43</f>
        <v>0.5203312980360848</v>
      </c>
    </row>
    <row r="49" spans="1:34" s="228" customFormat="1" ht="14.25">
      <c r="A49" s="228" t="s">
        <v>851</v>
      </c>
      <c r="C49" s="229"/>
      <c r="E49" s="228">
        <f>E37/E43</f>
        <v>1.1507798529519124</v>
      </c>
      <c r="G49" s="228">
        <f>G37/G43</f>
        <v>1.1745903193362015</v>
      </c>
      <c r="I49" s="228">
        <f>I37/I43</f>
        <v>1.1987907868715348</v>
      </c>
      <c r="K49" s="228">
        <f>K37/K43</f>
        <v>1.2233838155766232</v>
      </c>
      <c r="M49" s="228">
        <f>M37/M43</f>
        <v>1.2483717777024452</v>
      </c>
      <c r="O49" s="228">
        <f>O37/O43</f>
        <v>1.2737568442238156</v>
      </c>
      <c r="Q49" s="228">
        <f>Q37/Q43</f>
        <v>1.2995409706846852</v>
      </c>
      <c r="S49" s="228">
        <f>S37/S43</f>
        <v>1.32572588237024</v>
      </c>
      <c r="U49" s="228">
        <f>U37/U43</f>
        <v>1.3523130587777688</v>
      </c>
      <c r="W49" s="228">
        <f>W37/W43</f>
        <v>1.3793037173572167</v>
      </c>
      <c r="Y49" s="228">
        <f>Y37/Y43</f>
        <v>1.4066987964911803</v>
      </c>
      <c r="AA49" s="228">
        <f>AA37/AA43</f>
        <v>1.4344989376829433</v>
      </c>
      <c r="AC49" s="228">
        <f>AC37/AC43</f>
        <v>1.4627044669199283</v>
      </c>
      <c r="AE49" s="228">
        <f>AE37/AE43</f>
        <v>1.4913153751786654</v>
      </c>
      <c r="AG49" s="228">
        <f>AG37/AG43</f>
        <v>1.5203312980360848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2748</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7500</v>
      </c>
      <c r="F58" s="960"/>
      <c r="G58" s="960">
        <f>SUM(G53:G57)</f>
        <v>7725</v>
      </c>
      <c r="H58" s="960"/>
      <c r="I58" s="960">
        <f>SUM(I53:I57)</f>
        <v>7956.75</v>
      </c>
      <c r="J58" s="960"/>
      <c r="K58" s="960">
        <f>SUM(K53:K57)</f>
        <v>8195.4524999999994</v>
      </c>
      <c r="L58" s="960"/>
      <c r="M58" s="960">
        <f>SUM(M53:M57)</f>
        <v>8441.3160749999988</v>
      </c>
      <c r="N58" s="960"/>
      <c r="O58" s="960">
        <f>SUM(O53:O57)</f>
        <v>8694.5555572499998</v>
      </c>
      <c r="P58" s="960"/>
      <c r="Q58" s="960">
        <f>SUM(Q53:Q57)</f>
        <v>8955.3922239674994</v>
      </c>
      <c r="R58" s="960"/>
      <c r="S58" s="960">
        <f>SUM(S53:S57)</f>
        <v>9224.0539906865251</v>
      </c>
      <c r="T58" s="960"/>
      <c r="U58" s="960">
        <f>SUM(U53:U57)</f>
        <v>9500.7756104071213</v>
      </c>
      <c r="V58" s="960"/>
      <c r="W58" s="960">
        <f>SUM(W53:W57)</f>
        <v>9785.7988787193353</v>
      </c>
      <c r="X58" s="960"/>
      <c r="Y58" s="960">
        <f>SUM(Y53:Y57)</f>
        <v>10079.372845080916</v>
      </c>
      <c r="Z58" s="960"/>
      <c r="AA58" s="960">
        <f>SUM(AA53:AA57)</f>
        <v>10381.754030433343</v>
      </c>
      <c r="AB58" s="960"/>
      <c r="AC58" s="960">
        <f>SUM(AC53:AC57)</f>
        <v>10693.206651346343</v>
      </c>
      <c r="AD58" s="960"/>
      <c r="AE58" s="960">
        <f>SUM(AE53:AE57)</f>
        <v>11014.002850886734</v>
      </c>
      <c r="AF58" s="960"/>
      <c r="AG58" s="960">
        <f>SUM(AG53:AG57)</f>
        <v>11344.422936413337</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121470.82245048974</v>
      </c>
      <c r="G60" s="962">
        <f>G45-G58</f>
        <v>141612.30625048978</v>
      </c>
      <c r="I60" s="962">
        <f>I45-I58</f>
        <v>162080.63083348947</v>
      </c>
      <c r="K60" s="962">
        <f>K45-K58</f>
        <v>182877.78343314468</v>
      </c>
      <c r="M60" s="962">
        <f>M45-M58</f>
        <v>204005.58459939339</v>
      </c>
      <c r="O60" s="962">
        <f>O45-O58</f>
        <v>225465.67646165454</v>
      </c>
      <c r="Q60" s="962">
        <f>Q45-Q58</f>
        <v>247259.51043376789</v>
      </c>
      <c r="S60" s="962">
        <f>S45-S58</f>
        <v>269388.33433747524</v>
      </c>
      <c r="U60" s="962">
        <f>U45-U58</f>
        <v>291853.17892029509</v>
      </c>
      <c r="W60" s="962">
        <f>W45-W58</f>
        <v>314654.843742745</v>
      </c>
      <c r="Y60" s="962">
        <f>Y45-Y58</f>
        <v>337793.88240885735</v>
      </c>
      <c r="AA60" s="962">
        <f>AA45-AA58</f>
        <v>361270.58711294981</v>
      </c>
      <c r="AC60" s="962">
        <f>AC45-AC58</f>
        <v>385084.97247455193</v>
      </c>
      <c r="AE60" s="962">
        <f>AE45-AE58</f>
        <v>409236.75863229547</v>
      </c>
      <c r="AG60" s="962">
        <f>AG45-AG58</f>
        <v>433725.35356646671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60735.411225244869</v>
      </c>
      <c r="G62" s="962">
        <f>G60*$C$62</f>
        <v>70806.153125244891</v>
      </c>
      <c r="I62" s="962">
        <f>I60*$C$62</f>
        <v>81040.315416744736</v>
      </c>
      <c r="K62" s="962">
        <f>K60*$C$62</f>
        <v>91438.89171657234</v>
      </c>
      <c r="M62" s="962">
        <f>M60*$C$62</f>
        <v>102002.7922996967</v>
      </c>
      <c r="O62" s="962">
        <f>O60*$C$62</f>
        <v>112732.83823082727</v>
      </c>
      <c r="Q62" s="962">
        <f>Q60*$C$62</f>
        <v>123629.75521688395</v>
      </c>
      <c r="S62" s="962">
        <f>S60*$C$62</f>
        <v>134694.16716873762</v>
      </c>
      <c r="U62" s="962">
        <f>U60*$C$62</f>
        <v>145926.58946014754</v>
      </c>
      <c r="W62" s="962">
        <f>W60*$C$62</f>
        <v>157327.4218713725</v>
      </c>
      <c r="Y62" s="962">
        <f>Y60*$C$62</f>
        <v>168896.94120442867</v>
      </c>
      <c r="AA62" s="962">
        <f>AA60*$C$62</f>
        <v>180635.29355647491</v>
      </c>
      <c r="AC62" s="962">
        <f>AC60*$C$62</f>
        <v>192542.48623727597</v>
      </c>
      <c r="AE62" s="962">
        <f>AE60*$C$62</f>
        <v>204618.37931614774</v>
      </c>
      <c r="AG62" s="962">
        <f>AG60*$C$62</f>
        <v>216862.67678323336</v>
      </c>
    </row>
    <row r="63" spans="1:34" s="962" customFormat="1">
      <c r="A63" s="2693" t="s">
        <v>1185</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tr">
        <f>Application!C630</f>
        <v>CIC Opportunities Fund VI</v>
      </c>
      <c r="B66" s="964"/>
      <c r="C66" s="959"/>
      <c r="E66" s="964">
        <f>($E60*$C$65)</f>
        <v>30367.705612622434</v>
      </c>
      <c r="G66" s="960">
        <f>G60*$C$65</f>
        <v>35403.076562622446</v>
      </c>
      <c r="I66" s="960">
        <f>I60*$C$65</f>
        <v>40520.157708372368</v>
      </c>
      <c r="K66" s="960">
        <f>K60*$C$65</f>
        <v>45719.44585828617</v>
      </c>
      <c r="M66" s="960">
        <f>M60*$C$65</f>
        <v>51001.396149848348</v>
      </c>
      <c r="O66" s="960">
        <f>O60*$C$65</f>
        <v>56366.419115413635</v>
      </c>
      <c r="Q66" s="960">
        <f>Q60*$C$65</f>
        <v>61814.877608441973</v>
      </c>
      <c r="S66" s="960">
        <f>S60*$C$65</f>
        <v>67347.083584368811</v>
      </c>
      <c r="U66" s="960">
        <f>U60*$C$65</f>
        <v>72963.294730073772</v>
      </c>
      <c r="W66" s="960">
        <f>W60*$C$65</f>
        <v>78663.710935686249</v>
      </c>
      <c r="Y66" s="960">
        <f>Y60*$C$65</f>
        <v>84448.470602214336</v>
      </c>
      <c r="AA66" s="960">
        <f>AA60*$C$65</f>
        <v>90317.646778237453</v>
      </c>
      <c r="AC66" s="960">
        <f>AC60*$C$65</f>
        <v>96271.243118637984</v>
      </c>
      <c r="AE66" s="960">
        <f>AE60*$C$65</f>
        <v>102309.18965807387</v>
      </c>
      <c r="AG66" s="960">
        <f>AG60*$C$65</f>
        <v>108431.33839161668</v>
      </c>
    </row>
    <row r="67" spans="1:34" s="960" customFormat="1">
      <c r="A67" s="965" t="str">
        <f>Application!C628</f>
        <v>City of Woodland Seller Note</v>
      </c>
      <c r="B67" s="965"/>
      <c r="C67" s="970"/>
      <c r="E67" s="964">
        <f>($E60*$C$65)</f>
        <v>30367.705612622434</v>
      </c>
      <c r="G67" s="960">
        <f>G60*$C$65</f>
        <v>35403.076562622446</v>
      </c>
      <c r="I67" s="960">
        <f>I60*$C$65</f>
        <v>40520.157708372368</v>
      </c>
      <c r="K67" s="960">
        <f>K60*$C$65</f>
        <v>45719.44585828617</v>
      </c>
      <c r="M67" s="960">
        <f>M60*$C$65</f>
        <v>51001.396149848348</v>
      </c>
      <c r="O67" s="960">
        <f>O60*$C$65</f>
        <v>56366.419115413635</v>
      </c>
      <c r="Q67" s="960">
        <f>Q60*$C$65</f>
        <v>61814.877608441973</v>
      </c>
      <c r="S67" s="960">
        <f>S60*$C$65</f>
        <v>67347.083584368811</v>
      </c>
      <c r="U67" s="960">
        <f>U60*$C$65</f>
        <v>72963.294730073772</v>
      </c>
      <c r="W67" s="960">
        <f>W60*$C$65</f>
        <v>78663.710935686249</v>
      </c>
      <c r="Y67" s="960">
        <f>Y60*$C$65</f>
        <v>84448.470602214336</v>
      </c>
      <c r="AA67" s="960">
        <f>AA60*$C$65</f>
        <v>90317.646778237453</v>
      </c>
      <c r="AC67" s="960">
        <f>AC60*$C$65</f>
        <v>96271.243118637984</v>
      </c>
      <c r="AE67" s="960">
        <f>AE60*$C$65</f>
        <v>102309.18965807387</v>
      </c>
      <c r="AG67" s="960">
        <f>AG60*$C$65</f>
        <v>108431.33839161668</v>
      </c>
    </row>
    <row r="68" spans="1:34" s="960" customFormat="1">
      <c r="A68" s="965" t="str">
        <f>Application!C629</f>
        <v>City of Woodland Promissory Note</v>
      </c>
      <c r="B68" s="965"/>
      <c r="C68" s="970"/>
      <c r="E68" s="964"/>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60735.411225244869</v>
      </c>
      <c r="G70" s="960">
        <f>SUM(G66:G69)</f>
        <v>70806.153125244891</v>
      </c>
      <c r="I70" s="960">
        <f>SUM(I66:I69)</f>
        <v>81040.315416744736</v>
      </c>
      <c r="K70" s="960">
        <f>SUM(K66:K69)</f>
        <v>91438.89171657234</v>
      </c>
      <c r="M70" s="960">
        <f>SUM(M66:M69)</f>
        <v>102002.7922996967</v>
      </c>
      <c r="O70" s="960">
        <f>SUM(O66:O69)</f>
        <v>112732.83823082727</v>
      </c>
      <c r="Q70" s="960">
        <f>SUM(Q66:Q69)</f>
        <v>123629.75521688395</v>
      </c>
      <c r="S70" s="960">
        <f>SUM(S66:S69)</f>
        <v>134694.16716873762</v>
      </c>
      <c r="U70" s="960">
        <f>SUM(U66:U69)</f>
        <v>145926.58946014754</v>
      </c>
      <c r="W70" s="960">
        <f>SUM(W66:W69)</f>
        <v>157327.4218713725</v>
      </c>
      <c r="Y70" s="960">
        <f>SUM(Y66:Y69)</f>
        <v>168896.94120442867</v>
      </c>
      <c r="AA70" s="960">
        <f>SUM(AA66:AA69)</f>
        <v>180635.29355647491</v>
      </c>
      <c r="AC70" s="960">
        <f>SUM(AC66:AC69)</f>
        <v>192542.48623727597</v>
      </c>
      <c r="AE70" s="960">
        <f>SUM(AE66:AE69)</f>
        <v>204618.37931614774</v>
      </c>
      <c r="AG70" s="960">
        <f>SUM(AG66:AG69)</f>
        <v>216862.67678323336</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1" t="s">
        <v>1722</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3360000</v>
      </c>
      <c r="C5" s="266">
        <f>'Sources and Uses Budget'!$C4</f>
        <v>3360000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3360000</v>
      </c>
      <c r="C9" s="270">
        <f>SUM(C5:C8)</f>
        <v>3360000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1068712</v>
      </c>
      <c r="C11" s="266">
        <f>'Sources and Uses Budget'!$C10</f>
        <v>1068712</v>
      </c>
      <c r="D11" s="270">
        <f t="shared" si="0"/>
        <v>0</v>
      </c>
      <c r="E11" s="268"/>
      <c r="F11" s="267"/>
    </row>
    <row r="12" spans="1:6" s="352" customFormat="1">
      <c r="A12" s="365" t="s">
        <v>597</v>
      </c>
      <c r="B12" s="270">
        <f>SUM(B10:B11)</f>
        <v>1068712</v>
      </c>
      <c r="C12" s="270">
        <f>SUM(C10:C11)</f>
        <v>1068712</v>
      </c>
      <c r="D12" s="270">
        <f t="shared" si="0"/>
        <v>0</v>
      </c>
      <c r="E12" s="268"/>
      <c r="F12" s="267"/>
    </row>
    <row r="13" spans="1:6" s="352" customFormat="1">
      <c r="A13" s="365" t="s">
        <v>84</v>
      </c>
      <c r="B13" s="270">
        <f>SUM(B9+B12)</f>
        <v>4428712</v>
      </c>
      <c r="C13" s="270">
        <f>SUM(C9+C12)</f>
        <v>4428712</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1440000</v>
      </c>
      <c r="C30" s="266">
        <f>'Sources and Uses Budget'!$C29</f>
        <v>1440000</v>
      </c>
      <c r="D30" s="270">
        <f t="shared" si="0"/>
        <v>0</v>
      </c>
      <c r="E30" s="268"/>
      <c r="F30" s="267"/>
    </row>
    <row r="31" spans="1:6" s="352" customFormat="1">
      <c r="A31" s="145" t="s">
        <v>600</v>
      </c>
      <c r="B31" s="266">
        <f>'Sources and Uses Budget'!$C30</f>
        <v>19814656</v>
      </c>
      <c r="C31" s="266">
        <f>'Sources and Uses Budget'!$C30</f>
        <v>19814656</v>
      </c>
      <c r="D31" s="270">
        <f t="shared" si="0"/>
        <v>0</v>
      </c>
      <c r="E31" s="268"/>
      <c r="F31" s="267"/>
    </row>
    <row r="32" spans="1:6" s="352" customFormat="1">
      <c r="A32" s="145" t="s">
        <v>601</v>
      </c>
      <c r="B32" s="266">
        <f>'Sources and Uses Budget'!$C31</f>
        <v>892935</v>
      </c>
      <c r="C32" s="266">
        <f>'Sources and Uses Budget'!$C31</f>
        <v>892935</v>
      </c>
      <c r="D32" s="270">
        <f t="shared" si="0"/>
        <v>0</v>
      </c>
      <c r="E32" s="268"/>
      <c r="F32" s="267"/>
    </row>
    <row r="33" spans="1:6" s="352" customFormat="1">
      <c r="A33" s="145" t="s">
        <v>137</v>
      </c>
      <c r="B33" s="266">
        <f>'Sources and Uses Budget'!$C32</f>
        <v>669701</v>
      </c>
      <c r="C33" s="266">
        <f>'Sources and Uses Budget'!$C32</f>
        <v>669701</v>
      </c>
      <c r="D33" s="270">
        <f t="shared" si="0"/>
        <v>0</v>
      </c>
      <c r="E33" s="268"/>
      <c r="F33" s="267"/>
    </row>
    <row r="34" spans="1:6" s="352" customFormat="1">
      <c r="A34" s="145" t="s">
        <v>138</v>
      </c>
      <c r="B34" s="266">
        <f>'Sources and Uses Budget'!$C33</f>
        <v>1562636</v>
      </c>
      <c r="C34" s="266">
        <f>'Sources and Uses Budget'!$C33</f>
        <v>1562636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(Site Security)</v>
      </c>
      <c r="B38" s="266">
        <f>'Sources and Uses Budget'!$C37</f>
        <v>307200</v>
      </c>
      <c r="C38" s="266">
        <f>'Sources and Uses Budget'!$C37</f>
        <v>307200</v>
      </c>
      <c r="D38" s="270">
        <f t="shared" si="0"/>
        <v>0</v>
      </c>
      <c r="E38" s="268"/>
      <c r="F38" s="267"/>
    </row>
    <row r="39" spans="1:6" s="352" customFormat="1">
      <c r="A39" s="271" t="s">
        <v>143</v>
      </c>
      <c r="B39" s="270">
        <f>SUM(B30:B38)</f>
        <v>24687128</v>
      </c>
      <c r="C39" s="270">
        <f>SUM(C30:C38)</f>
        <v>24687128</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300000</v>
      </c>
      <c r="C41" s="266">
        <f>'Sources and Uses Budget'!$C40</f>
        <v>300000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300000</v>
      </c>
      <c r="C43" s="270">
        <f>SUM(C41:C42)</f>
        <v>300000</v>
      </c>
      <c r="D43" s="270">
        <f t="shared" si="0"/>
        <v>0</v>
      </c>
      <c r="E43" s="268"/>
      <c r="F43" s="267"/>
    </row>
    <row r="44" spans="1:6" s="352" customFormat="1">
      <c r="A44" s="271" t="s">
        <v>148</v>
      </c>
      <c r="B44" s="266">
        <f>'Sources and Uses Budget'!$C43</f>
        <v>421500</v>
      </c>
      <c r="C44" s="266">
        <f>'Sources and Uses Budget'!$C43</f>
        <v>421500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2897239</v>
      </c>
      <c r="C46" s="266">
        <f>'Sources and Uses Budget'!$C45</f>
        <v>2897239</v>
      </c>
      <c r="D46" s="270">
        <f t="shared" si="0"/>
        <v>0</v>
      </c>
      <c r="E46" s="268"/>
      <c r="F46" s="267"/>
    </row>
    <row r="47" spans="1:6" s="352" customFormat="1">
      <c r="A47" s="145" t="s">
        <v>151</v>
      </c>
      <c r="B47" s="266">
        <f>'Sources and Uses Budget'!$C46</f>
        <v>385172</v>
      </c>
      <c r="C47" s="266">
        <f>'Sources and Uses Budget'!$C46</f>
        <v>385172</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210000</v>
      </c>
      <c r="C49" s="266">
        <f>'Sources and Uses Budget'!$C48</f>
        <v>210000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0</v>
      </c>
      <c r="C51" s="266">
        <f>'Sources and Uses Budget'!$C50</f>
        <v>0</v>
      </c>
      <c r="D51" s="270">
        <f t="shared" si="0"/>
        <v>0</v>
      </c>
      <c r="E51" s="268"/>
      <c r="F51" s="267"/>
    </row>
    <row r="52" spans="1:6" s="352" customFormat="1">
      <c r="A52" s="283" t="s">
        <v>154</v>
      </c>
      <c r="B52" s="266">
        <f>'Sources and Uses Budget'!$C51</f>
        <v>154500</v>
      </c>
      <c r="C52" s="266">
        <f>'Sources and Uses Budget'!$C51</f>
        <v>154500</v>
      </c>
      <c r="D52" s="270">
        <f t="shared" si="0"/>
        <v>0</v>
      </c>
      <c r="E52" s="268"/>
      <c r="F52" s="267"/>
    </row>
    <row r="53" spans="1:6" s="352" customFormat="1">
      <c r="A53" s="145" t="s">
        <v>155</v>
      </c>
      <c r="B53" s="266">
        <f>'Sources and Uses Budget'!$C52</f>
        <v>450000</v>
      </c>
      <c r="C53" s="266">
        <f>'Sources and Uses Budget'!$C52</f>
        <v>450000</v>
      </c>
      <c r="D53" s="270">
        <f t="shared" si="0"/>
        <v>0</v>
      </c>
      <c r="E53" s="268"/>
      <c r="F53" s="267"/>
    </row>
    <row r="54" spans="1:6" s="352" customFormat="1">
      <c r="A54" s="155" t="str">
        <f>'Sources and Uses Budget'!A53</f>
        <v>Other: Lender reports &amp; inspections</v>
      </c>
      <c r="B54" s="266">
        <f>'Sources and Uses Budget'!$C53</f>
        <v>53500</v>
      </c>
      <c r="C54" s="266">
        <f>'Sources and Uses Budget'!$C53</f>
        <v>53500</v>
      </c>
      <c r="D54" s="270">
        <f t="shared" si="0"/>
        <v>0</v>
      </c>
      <c r="E54" s="268"/>
      <c r="F54" s="267"/>
    </row>
    <row r="55" spans="1:6" s="353" customFormat="1">
      <c r="A55" s="271" t="s">
        <v>157</v>
      </c>
      <c r="B55" s="273">
        <f>SUM(B46:B54)</f>
        <v>4150411</v>
      </c>
      <c r="C55" s="273">
        <f>SUM(C46:C54)</f>
        <v>4150411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100425</v>
      </c>
      <c r="C57" s="266">
        <f>'Sources and Uses Budget'!$C56</f>
        <v>100425</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(Issuer Fee)</v>
      </c>
      <c r="B62" s="266">
        <f>'Sources and Uses Budget'!$C61</f>
        <v>98000</v>
      </c>
      <c r="C62" s="266">
        <f>'Sources and Uses Budget'!$C61</f>
        <v>98000</v>
      </c>
      <c r="D62" s="270">
        <f t="shared" si="0"/>
        <v>0</v>
      </c>
      <c r="E62" s="268"/>
      <c r="F62" s="267"/>
    </row>
    <row r="63" spans="1:6" s="352" customFormat="1" ht="13.7" customHeight="1">
      <c r="A63" s="271" t="s">
        <v>301</v>
      </c>
      <c r="B63" s="270">
        <f>SUM(B57:B62)</f>
        <v>203425</v>
      </c>
      <c r="C63" s="270">
        <f>SUM(C57:C62)</f>
        <v>203425</v>
      </c>
      <c r="D63" s="270">
        <f t="shared" si="0"/>
        <v>0</v>
      </c>
      <c r="E63" s="268"/>
      <c r="F63" s="267"/>
    </row>
    <row r="64" spans="1:6" s="352" customFormat="1">
      <c r="A64" s="274" t="s">
        <v>302</v>
      </c>
      <c r="B64" s="270">
        <f>SUM(B9+B12+B14+B15+B17+B26+B28+B39+B43+B44+B55+B63)</f>
        <v>34191176</v>
      </c>
      <c r="C64" s="270">
        <f>SUM(C9+C12+C14+C15+C17+C26+C28+C39+C43+C44+C55+C63)</f>
        <v>34191176</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260000</v>
      </c>
      <c r="C66" s="266">
        <f>'Sources and Uses Budget'!$C65</f>
        <v>260000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260000</v>
      </c>
      <c r="C71" s="270">
        <f>SUM(C66:C70)</f>
        <v>260000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348001</v>
      </c>
      <c r="C76" s="266">
        <f>'Sources and Uses Budget'!$C75</f>
        <v>348001</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348001</v>
      </c>
      <c r="C78" s="270">
        <f>SUM(C73:C77)</f>
        <v>348001</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1272432</v>
      </c>
      <c r="C80" s="266">
        <f>'Sources and Uses Budget'!$C79</f>
        <v>1272432</v>
      </c>
      <c r="D80" s="270">
        <f t="shared" si="1"/>
        <v>0</v>
      </c>
      <c r="E80" s="268"/>
      <c r="F80" s="267"/>
    </row>
    <row r="81" spans="1:6" s="352" customFormat="1">
      <c r="A81" s="510" t="s">
        <v>58</v>
      </c>
      <c r="B81" s="266">
        <f>'Sources and Uses Budget'!$C80</f>
        <v>272732</v>
      </c>
      <c r="C81" s="266">
        <f>'Sources and Uses Budget'!$C80</f>
        <v>272732</v>
      </c>
      <c r="D81" s="270">
        <f>C81-B81</f>
        <v>0</v>
      </c>
      <c r="E81" s="268"/>
      <c r="F81" s="267"/>
    </row>
    <row r="82" spans="1:6" s="352" customFormat="1">
      <c r="A82" s="271" t="s">
        <v>1210</v>
      </c>
      <c r="B82" s="270">
        <f>SUM(B80:B81)</f>
        <v>1545164</v>
      </c>
      <c r="C82" s="270">
        <f>SUM(C80:C81)</f>
        <v>1545164</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111213</v>
      </c>
      <c r="C84" s="266">
        <f>'Sources and Uses Budget'!$C83</f>
        <v>111213</v>
      </c>
      <c r="D84" s="270">
        <f t="shared" si="1"/>
        <v>0</v>
      </c>
      <c r="E84" s="268"/>
      <c r="F84" s="267"/>
    </row>
    <row r="85" spans="1:6" s="352" customFormat="1">
      <c r="A85" s="269" t="s">
        <v>768</v>
      </c>
      <c r="B85" s="266">
        <f>'Sources and Uses Budget'!$C84</f>
        <v>4500</v>
      </c>
      <c r="C85" s="266">
        <f>'Sources and Uses Budget'!$C84</f>
        <v>4500</v>
      </c>
      <c r="D85" s="270">
        <f t="shared" si="1"/>
        <v>0</v>
      </c>
      <c r="E85" s="268"/>
      <c r="F85" s="267"/>
    </row>
    <row r="86" spans="1:6" s="352" customFormat="1">
      <c r="A86" s="269" t="s">
        <v>769</v>
      </c>
      <c r="B86" s="266">
        <f>'Sources and Uses Budget'!$C85</f>
        <v>2395810</v>
      </c>
      <c r="C86" s="266">
        <f>'Sources and Uses Budget'!$C85</f>
        <v>2395810</v>
      </c>
      <c r="D86" s="270">
        <f t="shared" si="1"/>
        <v>0</v>
      </c>
      <c r="E86" s="268"/>
      <c r="F86" s="267"/>
    </row>
    <row r="87" spans="1:6" s="352" customFormat="1">
      <c r="A87" s="269" t="s">
        <v>770</v>
      </c>
      <c r="B87" s="266">
        <f>'Sources and Uses Budget'!$C86</f>
        <v>323400</v>
      </c>
      <c r="C87" s="266">
        <f>'Sources and Uses Budget'!$C86</f>
        <v>323400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233200</v>
      </c>
      <c r="C89" s="266">
        <f>'Sources and Uses Budget'!$C88</f>
        <v>233200</v>
      </c>
      <c r="D89" s="270">
        <f t="shared" si="1"/>
        <v>0</v>
      </c>
      <c r="E89" s="268"/>
      <c r="F89" s="267"/>
    </row>
    <row r="90" spans="1:6" s="352" customFormat="1">
      <c r="A90" s="269" t="s">
        <v>773</v>
      </c>
      <c r="B90" s="266">
        <f>'Sources and Uses Budget'!$C89</f>
        <v>25000</v>
      </c>
      <c r="C90" s="266">
        <f>'Sources and Uses Budget'!$C89</f>
        <v>25000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63000</v>
      </c>
      <c r="C92" s="266">
        <f>'Sources and Uses Budget'!$C91</f>
        <v>63000</v>
      </c>
      <c r="D92" s="270">
        <f t="shared" si="1"/>
        <v>0</v>
      </c>
      <c r="E92" s="268"/>
      <c r="F92" s="267"/>
    </row>
    <row r="93" spans="1:6" s="352" customFormat="1">
      <c r="A93" s="510" t="s">
        <v>1212</v>
      </c>
      <c r="B93" s="266">
        <f>'Sources and Uses Budget'!$C92</f>
        <v>10000</v>
      </c>
      <c r="C93" s="266">
        <f>'Sources and Uses Budget'!$C92</f>
        <v>10000</v>
      </c>
      <c r="D93" s="270">
        <f t="shared" si="1"/>
        <v>0</v>
      </c>
      <c r="E93" s="268"/>
      <c r="F93" s="267"/>
    </row>
    <row r="94" spans="1:6" s="352" customFormat="1">
      <c r="A94" s="272" t="s">
        <v>34</v>
      </c>
      <c r="B94" s="266">
        <f>'Sources and Uses Budget'!$C93</f>
        <v>3500</v>
      </c>
      <c r="C94" s="266">
        <f>'Sources and Uses Budget'!$C93</f>
        <v>3500</v>
      </c>
      <c r="D94" s="270">
        <f t="shared" si="1"/>
        <v>0</v>
      </c>
      <c r="E94" s="268"/>
      <c r="F94" s="267"/>
    </row>
    <row r="95" spans="1:6" s="352" customFormat="1">
      <c r="A95" s="272" t="s">
        <v>34</v>
      </c>
      <c r="B95" s="266">
        <f>'Sources and Uses Budget'!$C94</f>
        <v>225000</v>
      </c>
      <c r="C95" s="266">
        <f>'Sources and Uses Budget'!$C94</f>
        <v>225000</v>
      </c>
      <c r="D95" s="270">
        <f t="shared" si="1"/>
        <v>0</v>
      </c>
      <c r="E95" s="268"/>
      <c r="F95" s="267"/>
    </row>
    <row r="96" spans="1:6" s="352" customFormat="1">
      <c r="A96" s="272" t="s">
        <v>34</v>
      </c>
      <c r="B96" s="266">
        <f>'Sources and Uses Budget'!$C95</f>
        <v>25000</v>
      </c>
      <c r="C96" s="266">
        <f>'Sources and Uses Budget'!$C95</f>
        <v>25000</v>
      </c>
      <c r="D96" s="270">
        <f t="shared" si="1"/>
        <v>0</v>
      </c>
      <c r="E96" s="268"/>
      <c r="F96" s="267"/>
    </row>
    <row r="97" spans="1:6" s="352" customFormat="1">
      <c r="A97" s="271" t="s">
        <v>775</v>
      </c>
      <c r="B97" s="270">
        <f>SUM(B84:B96)</f>
        <v>3429623</v>
      </c>
      <c r="C97" s="270">
        <f>SUM(C84:C96)</f>
        <v>3429623</v>
      </c>
      <c r="D97" s="270">
        <f t="shared" si="1"/>
        <v>0</v>
      </c>
      <c r="E97" s="268"/>
      <c r="F97" s="267"/>
    </row>
    <row r="98" spans="1:6" s="352" customFormat="1">
      <c r="A98" s="271" t="s">
        <v>776</v>
      </c>
      <c r="B98" s="270">
        <f>SUM(B64+B71+B78+B82+B97)</f>
        <v>39773964</v>
      </c>
      <c r="C98" s="270">
        <f>SUM(C64+C71+C78+C82+C97)</f>
        <v>39773964</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5107441</v>
      </c>
      <c r="C100" s="266">
        <f>'Sources and Uses Budget'!$C99</f>
        <v>5107441</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5107441</v>
      </c>
      <c r="C105" s="270">
        <f>SUM(C100:C104)</f>
        <v>5107441</v>
      </c>
      <c r="D105" s="270">
        <f t="shared" si="1"/>
        <v>0</v>
      </c>
      <c r="E105" s="268"/>
      <c r="F105" s="267"/>
    </row>
    <row r="106" spans="1:6" s="352" customFormat="1">
      <c r="A106" s="271" t="s">
        <v>781</v>
      </c>
      <c r="B106" s="273">
        <f>SUM(B98+B105)</f>
        <v>44881405</v>
      </c>
      <c r="C106" s="273">
        <f>SUM(C98+C105)</f>
        <v>44881405</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619" workbookViewId="0">
      <selection activeCell="D15" sqref="D15:F1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2728</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2728</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2729</v>
      </c>
      <c r="D24" s="1301" t="s">
        <v>1092</v>
      </c>
      <c r="E24" s="1301"/>
      <c r="F24" s="1301"/>
      <c r="I24" s="490"/>
    </row>
    <row r="25" spans="1:9" ht="14.25">
      <c r="A25" s="484"/>
      <c r="B25" s="484"/>
      <c r="D25" s="1301"/>
      <c r="E25" s="1301"/>
      <c r="F25" s="1301"/>
      <c r="I25" s="490"/>
    </row>
    <row r="26" spans="1:9">
      <c r="I26" s="490"/>
    </row>
    <row r="27" spans="1:9" ht="14.25">
      <c r="A27" s="484"/>
      <c r="B27" s="485" t="s">
        <v>2728</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2729</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2729</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2729</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2728</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2729</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2728</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2729</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2728</v>
      </c>
      <c r="D65" s="1301" t="s">
        <v>1098</v>
      </c>
      <c r="E65" s="1301"/>
      <c r="F65" s="1301"/>
      <c r="I65" s="490"/>
    </row>
    <row r="66" spans="1:9">
      <c r="D66" s="1301"/>
      <c r="E66" s="1301"/>
      <c r="F66" s="1301"/>
      <c r="I66" s="490"/>
    </row>
    <row r="67" spans="1:9">
      <c r="I67" s="490"/>
    </row>
    <row r="68" spans="1:9" ht="14.25">
      <c r="A68" s="484"/>
      <c r="B68" s="485" t="s">
        <v>2729</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2729</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2728</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2728</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2728</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2728</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2729</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2729</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2729</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2728</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2728</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2728</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2729</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2729</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2728</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2729</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2728</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2729</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2729</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2729</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2729</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2729</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2728</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2728</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2728</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2729</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2728</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2728</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2728</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2729</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2729</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2729</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2729</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2729</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2729</v>
      </c>
      <c r="D305" s="1299" t="s">
        <v>1130</v>
      </c>
      <c r="E305" s="1299"/>
      <c r="F305" s="1299"/>
      <c r="I305" s="490"/>
    </row>
    <row r="306" spans="1:9" ht="14.25">
      <c r="A306" s="484"/>
      <c r="B306" s="484"/>
      <c r="D306" s="494"/>
      <c r="E306" s="495"/>
      <c r="F306" s="495"/>
      <c r="I306" s="490"/>
    </row>
    <row r="307" spans="1:9" ht="13.7" customHeight="1">
      <c r="B307" s="485" t="s">
        <v>2729</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2729</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2729</v>
      </c>
      <c r="D316" s="1299" t="s">
        <v>1132</v>
      </c>
      <c r="E316" s="1299"/>
      <c r="F316" s="1299"/>
      <c r="I316" s="490"/>
    </row>
    <row r="317" spans="1:9">
      <c r="E317" s="446"/>
      <c r="F317" s="446"/>
      <c r="I317" s="490"/>
    </row>
    <row r="318" spans="1:9" ht="14.25">
      <c r="A318" s="484"/>
      <c r="B318" s="485" t="s">
        <v>2729</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2729</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2729</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2729</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2729</v>
      </c>
      <c r="C360" s="476"/>
      <c r="D360" s="1318" t="s">
        <v>2058</v>
      </c>
      <c r="E360" s="1318"/>
      <c r="F360" s="1318"/>
      <c r="I360" s="480"/>
    </row>
    <row r="361" spans="1:9">
      <c r="A361" s="476"/>
      <c r="B361" s="476"/>
      <c r="C361" s="476"/>
      <c r="D361" s="447"/>
      <c r="E361" s="447"/>
      <c r="F361" s="446"/>
      <c r="I361" s="490"/>
    </row>
    <row r="362" spans="1:9">
      <c r="A362" s="476"/>
      <c r="B362" s="485" t="s">
        <v>2729</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2729</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2729</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2729</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2729</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2729</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2729</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2729</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2729</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2729</v>
      </c>
      <c r="C471" s="484"/>
      <c r="D471" s="1301" t="s">
        <v>1198</v>
      </c>
      <c r="E471" s="1301"/>
      <c r="F471" s="1301"/>
      <c r="I471" s="490"/>
    </row>
    <row r="472" spans="1:9">
      <c r="D472" s="1301"/>
      <c r="E472" s="1301"/>
      <c r="F472" s="1301"/>
      <c r="I472" s="490"/>
    </row>
    <row r="473" spans="1:9">
      <c r="D473" s="446"/>
      <c r="E473" s="446"/>
      <c r="F473" s="446"/>
      <c r="I473" s="490"/>
    </row>
    <row r="474" spans="1:9" ht="14.25">
      <c r="B474" s="485" t="s">
        <v>2729</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2729</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2729</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2729</v>
      </c>
      <c r="C486" s="402"/>
      <c r="D486" s="1301"/>
      <c r="E486" s="1301"/>
      <c r="F486" s="1301"/>
      <c r="I486" s="490"/>
    </row>
    <row r="487" spans="1:9">
      <c r="A487" s="402"/>
      <c r="C487" s="402"/>
      <c r="D487" s="1301"/>
      <c r="E487" s="1301"/>
      <c r="F487" s="1301"/>
      <c r="I487" s="490"/>
    </row>
    <row r="488" spans="1:9">
      <c r="A488" s="402"/>
      <c r="B488" s="485" t="s">
        <v>2729</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2729</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2729</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2729</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2729</v>
      </c>
      <c r="D509" s="1299" t="s">
        <v>1144</v>
      </c>
      <c r="E509" s="1299"/>
      <c r="F509" s="1299"/>
      <c r="I509" s="490"/>
    </row>
    <row r="510" spans="1:9" ht="14.25">
      <c r="A510" s="484"/>
      <c r="B510" s="484"/>
      <c r="D510" s="446"/>
      <c r="I510" s="490"/>
    </row>
    <row r="511" spans="1:9" ht="14.25">
      <c r="A511" s="484"/>
      <c r="B511" s="485" t="s">
        <v>2729</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2729</v>
      </c>
      <c r="D514" s="1299" t="s">
        <v>1146</v>
      </c>
      <c r="E514" s="1299"/>
      <c r="F514" s="1299"/>
      <c r="I514" s="490"/>
    </row>
    <row r="515" spans="1:9">
      <c r="D515" s="446"/>
      <c r="E515" s="446"/>
      <c r="F515" s="446"/>
      <c r="I515" s="490"/>
    </row>
    <row r="516" spans="1:9">
      <c r="B516" s="485" t="s">
        <v>2729</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2728</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2728</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2729</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2728</v>
      </c>
      <c r="C548" s="487"/>
      <c r="D548" s="1299" t="s">
        <v>885</v>
      </c>
      <c r="E548" s="1299"/>
      <c r="F548" s="1299"/>
      <c r="I548" s="490"/>
    </row>
    <row r="549" spans="1:9" ht="13.7" customHeight="1">
      <c r="A549" s="487"/>
      <c r="B549" s="487"/>
      <c r="C549" s="487"/>
      <c r="D549" s="446"/>
      <c r="I549" s="490"/>
    </row>
    <row r="550" spans="1:9" ht="14.25">
      <c r="A550" s="484"/>
      <c r="B550" s="485" t="s">
        <v>2728</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2728</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2728</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2728</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2729</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2728</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2728</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2728</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2728</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2728</v>
      </c>
      <c r="D588" s="1313" t="s">
        <v>889</v>
      </c>
      <c r="E588" s="1313"/>
      <c r="F588" s="1313"/>
      <c r="I588" s="490"/>
    </row>
    <row r="589" spans="1:9">
      <c r="A589" s="490"/>
      <c r="B589" s="490"/>
      <c r="D589" s="476"/>
      <c r="I589" s="490"/>
    </row>
    <row r="590" spans="1:9">
      <c r="A590" s="490"/>
      <c r="B590" s="485" t="s">
        <v>2728</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2729</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2728</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2729</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2728</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2728</v>
      </c>
      <c r="D620" s="1307" t="s">
        <v>1112</v>
      </c>
      <c r="E620" s="1307"/>
      <c r="F620" s="1307"/>
      <c r="I620" s="490"/>
    </row>
    <row r="621" spans="1:9">
      <c r="D621" s="1307"/>
      <c r="E621" s="1307"/>
      <c r="F621" s="1307"/>
      <c r="I621" s="490"/>
    </row>
    <row r="622" spans="1:9">
      <c r="I622" s="490"/>
    </row>
    <row r="623" spans="1:9">
      <c r="B623" s="485" t="s">
        <v>2728</v>
      </c>
      <c r="D623" s="1307" t="s">
        <v>1113</v>
      </c>
      <c r="E623" s="1307"/>
      <c r="F623" s="1307"/>
      <c r="I623" s="490"/>
    </row>
    <row r="624" spans="1:9">
      <c r="C624" s="500"/>
      <c r="D624" s="1307"/>
      <c r="E624" s="1307"/>
      <c r="F624" s="1307"/>
      <c r="I624" s="490"/>
    </row>
    <row r="625" spans="1:9">
      <c r="C625" s="500"/>
      <c r="I625" s="490"/>
    </row>
    <row r="626" spans="1:9">
      <c r="B626" s="485" t="s">
        <v>2729</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2728</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2728</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2728</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2728</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2729</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2729</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2729</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2729</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2728</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2729</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2728</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2729</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2729</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2729</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2729</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2729</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2729</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2729</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2729</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2729</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2728</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2729</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2729</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2729</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2729</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2728</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2729</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2728</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2729</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2729</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2728</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2729</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2728</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2728</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2729</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2729</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2729</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2728</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2728</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2729</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2729</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2729</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2728</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2728</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2728</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2729</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2729</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2729</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2729</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2728</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2728</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2728</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2729</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2729</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2729</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2729</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2728</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2729</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2729</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2729</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2729</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2728</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2729</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2729</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2728</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2729</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2729</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2728</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2728</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2729</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2728</v>
      </c>
      <c r="C1062" s="402"/>
      <c r="D1062" s="402" t="s">
        <v>1813</v>
      </c>
      <c r="I1062" s="490"/>
    </row>
    <row r="1063" spans="1:9">
      <c r="A1063" s="402"/>
      <c r="B1063" s="402"/>
      <c r="C1063" s="402"/>
      <c r="I1063" s="490"/>
    </row>
    <row r="1064" spans="1:9">
      <c r="A1064" s="402"/>
      <c r="B1064" s="485" t="s">
        <v>2729</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2728</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2729</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2729</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2729</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2729</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2729</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2729</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2729</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2729</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2729</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2729</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16" zoomScale="115" zoomScaleNormal="115" workbookViewId="0">
      <selection activeCell="AF630" sqref="AF630:AJ63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Northern (Butte, El Dorado, Placer, Sacramento, San Joaquin, Shasta, Solano, Sutter, Yuba, and Yolo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10</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2512</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2504</v>
      </c>
      <c r="BE9" s="1249">
        <f>SUMIF($AC$718:$AC$752,"&lt;=40%",$G$718:G$752)-SUM($BE$5:BE8)</f>
        <v>0</v>
      </c>
    </row>
    <row r="10" spans="1:58" ht="12.95" customHeight="1">
      <c r="A10" s="1372" t="s">
        <v>2461</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2513</v>
      </c>
      <c r="BE10" s="1249">
        <f>SUMIF($AC$718:$AC$752,"&lt;=45%",$G$718:G$752)-SUM($BE$5:BE9)</f>
        <v>0</v>
      </c>
    </row>
    <row r="11" spans="1:58" ht="12.95" customHeight="1">
      <c r="A11" s="1372" t="s">
        <v>2607</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2505</v>
      </c>
      <c r="BE11" s="1249">
        <f>SUMIF($AC$718:$AC$752,"&lt;=50%",$G$718:G$752)-SUM($BE$5:BE10)</f>
        <v>10</v>
      </c>
    </row>
    <row r="12" spans="1:58" ht="12.95" customHeight="1">
      <c r="A12" s="1411" t="s">
        <v>2612</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75</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2727</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Vista Del Roble Phase II</v>
      </c>
    </row>
    <row r="17" spans="1:58" ht="12.95" customHeight="1">
      <c r="BD17" s="1247" t="s">
        <v>2521</v>
      </c>
      <c r="BE17" s="1249">
        <f>Application!AA934</f>
        <v>0</v>
      </c>
    </row>
    <row r="18" spans="1:58" ht="12.95" customHeight="1">
      <c r="A18" s="57" t="s">
        <v>101</v>
      </c>
      <c r="C18" s="4"/>
      <c r="D18" s="4"/>
      <c r="E18" s="4"/>
      <c r="F18" s="4"/>
      <c r="G18" s="4"/>
      <c r="H18" s="1416" t="s">
        <v>2613</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Application!M26</f>
        <v>1566282</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2524</v>
      </c>
      <c r="BE20" s="1249">
        <f>Application!M27</f>
        <v>8638450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23000000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44881405</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3360000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76300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8">
        <f>'Basis &amp; Credits'!AB56</f>
        <v>1566282</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8638450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2530</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546</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2599</v>
      </c>
      <c r="BE33" s="1249" t="str">
        <f>Application!D220</f>
        <v>Capital Region: El Dorado, Placer, Sacramento, Sutter, Yuba, and Yolo Counties</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2533</v>
      </c>
      <c r="BE34" s="1249" t="str">
        <f>Application!I185</f>
        <v>310 West Main Street</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2534</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2535</v>
      </c>
      <c r="BE36" s="1249" t="str">
        <f>Application!I189</f>
        <v>Woodland</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2536</v>
      </c>
      <c r="BE37" s="1249" t="str">
        <f>Application!T189</f>
        <v>Yolo</v>
      </c>
    </row>
    <row r="38" spans="1:57" ht="12.95" customHeight="1">
      <c r="A38" s="3"/>
      <c r="AZ38" s="20"/>
      <c r="BD38" s="1248" t="s">
        <v>2537</v>
      </c>
      <c r="BE38" s="1249">
        <f>Application!I190</f>
        <v>95695</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96</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95</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0.55789473684210522</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0.55788250184737354</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467514.63541666669</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4</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Pacific Southwest Community Development Corporation</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Robert Laing</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CIC VDR II,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Cheri Hoffman</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Chelsea Investment Corporation</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Chelsea Investment Corporation</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6339 Paseo del Lago</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Carlsbad, CA, 92011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Cheri Hoffman</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cherihoffman@chelseainvestco.com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0.87</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0.88</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2596</v>
      </c>
      <c r="BE65" s="1249" t="str">
        <f>Z205</f>
        <v>State Farmworker Credit</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2561</v>
      </c>
      <c r="BE66" s="1249" t="b">
        <f>Application!Z205="State Farmworker Credit"</f>
        <v>1</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2564</v>
      </c>
      <c r="BE69" s="1249"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2567</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9" t="s">
        <v>2161</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2570</v>
      </c>
      <c r="BE75" s="1249">
        <f>'Points System'!AF808</f>
        <v>10</v>
      </c>
    </row>
    <row r="76" spans="1:57" ht="12.95"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2571</v>
      </c>
      <c r="BE76" s="1249">
        <f>'Points System'!AF811</f>
        <v>10</v>
      </c>
    </row>
    <row r="77" spans="1:57" ht="12.95"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2574</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2575</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0.72288076588385874</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Woodland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Mr. Ken Hiatt</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300 1st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Woodland</v>
      </c>
    </row>
    <row r="89" spans="1:57" ht="12.95" customHeight="1">
      <c r="A89" s="1788" t="s">
        <v>2165</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2584</v>
      </c>
      <c r="BE89" s="1249">
        <f>Application!O158</f>
        <v>95695</v>
      </c>
    </row>
    <row r="90" spans="1:57" ht="12.95"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2585</v>
      </c>
      <c r="BE90" s="1249" t="str">
        <f>Application!H16</f>
        <v xml:space="preserve">Pacific Southwest Community Development Corporation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16935 West Bernardo Drive, Suite #238</v>
      </c>
    </row>
    <row r="92" spans="1:57" ht="12.95" customHeight="1">
      <c r="A92" s="1789" t="s">
        <v>2166</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2587</v>
      </c>
      <c r="BE92" s="1249" t="str">
        <f>Application!M234</f>
        <v>San Diego</v>
      </c>
    </row>
    <row r="93" spans="1:57" ht="12.95"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2588</v>
      </c>
      <c r="BE93" s="1249" t="str">
        <f>Application!W234</f>
        <v>CA</v>
      </c>
    </row>
    <row r="94" spans="1:57" ht="12.95"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2589</v>
      </c>
      <c r="BE94" s="1249">
        <f>Application!AC234</f>
        <v>92127</v>
      </c>
    </row>
    <row r="95" spans="1:57" ht="12.95"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2590</v>
      </c>
      <c r="BE95" s="1249" t="str">
        <f>Application!M235</f>
        <v>Robert Laing</v>
      </c>
    </row>
    <row r="96" spans="1:57" ht="12.95"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2591</v>
      </c>
      <c r="BE96" s="1249" t="str">
        <f>Application!M237</f>
        <v>robertlaing@pswcdc.org</v>
      </c>
    </row>
    <row r="97" spans="1:57" ht="12.95"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2592</v>
      </c>
      <c r="BE97" s="1249" t="str">
        <f>Application!M248</f>
        <v>cherihoffman@chelseainvestco.com</v>
      </c>
    </row>
    <row r="98" spans="1:57" ht="12.95"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2593</v>
      </c>
      <c r="BE98" s="1249" t="str">
        <f>Application!M256</f>
        <v>cherihoffmn@chelseainvestco.com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90" t="s">
        <v>2167</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2595</v>
      </c>
      <c r="BE100" s="1249" t="str">
        <f>Application!L279</f>
        <v>mcates@chelseainvestco.com</v>
      </c>
    </row>
    <row r="101" spans="1:57" ht="12.95"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2600</v>
      </c>
      <c r="BE101">
        <f>'Sources and Uses Budget'!C105</f>
        <v>44881405</v>
      </c>
    </row>
    <row r="102" spans="1:57" ht="12.95"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2601</v>
      </c>
      <c r="BE102" t="b">
        <f>T197="Yes"</f>
        <v>0</v>
      </c>
    </row>
    <row r="103" spans="1:57" ht="12.95"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0" t="s">
        <v>2168</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2.95"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1">
        <v>16</v>
      </c>
      <c r="H113" s="1791"/>
      <c r="I113" s="3" t="s">
        <v>182</v>
      </c>
      <c r="L113" s="1791" t="s">
        <v>2751</v>
      </c>
      <c r="M113" s="1791"/>
      <c r="N113" s="1791"/>
      <c r="O113" s="1791"/>
      <c r="P113" s="1797" t="s">
        <v>2242</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2" t="s">
        <v>2623</v>
      </c>
      <c r="D115" s="1802"/>
      <c r="E115" s="1802"/>
      <c r="F115" s="1802"/>
      <c r="G115" s="1802"/>
      <c r="H115" s="1802"/>
      <c r="I115" s="1802"/>
      <c r="J115" s="1802"/>
      <c r="K115" s="1802"/>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1"/>
      <c r="Z117" s="1791"/>
      <c r="AA117" s="1791"/>
      <c r="AB117" s="1791"/>
      <c r="AC117" s="1791"/>
      <c r="AD117" s="1791"/>
      <c r="AE117" s="1791"/>
      <c r="AF117" s="1791"/>
      <c r="AG117" s="1791"/>
      <c r="AH117" s="1791"/>
      <c r="AI117" s="1791"/>
      <c r="AJ117" s="1791"/>
      <c r="AK117" s="1791"/>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1" t="s">
        <v>2752</v>
      </c>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Yolo</v>
      </c>
      <c r="DH122" s="1656"/>
      <c r="DI122" s="1656"/>
      <c r="DJ122" s="1656"/>
      <c r="DK122" s="1656"/>
      <c r="DL122" s="1656"/>
      <c r="DM122" s="1657"/>
    </row>
    <row r="123" spans="1:117" ht="12.95" customHeight="1">
      <c r="A123" s="3"/>
      <c r="B123" s="3"/>
      <c r="T123" s="3"/>
      <c r="U123" s="3"/>
      <c r="V123" s="3"/>
      <c r="W123" s="3"/>
      <c r="X123" s="3"/>
      <c r="Y123" s="1791" t="s">
        <v>2753</v>
      </c>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6" t="s">
        <v>2616</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7" t="s">
        <v>2696</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0" t="s">
        <v>441</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2617</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6" t="s">
        <v>2615</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4">
        <v>95695</v>
      </c>
      <c r="P158" s="1794"/>
      <c r="Q158" s="1794"/>
      <c r="R158" s="1794"/>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423" t="s">
        <v>2618</v>
      </c>
      <c r="P159" s="1783"/>
      <c r="Q159" s="1783"/>
      <c r="R159" s="1783"/>
      <c r="S159" s="1783"/>
      <c r="T159" s="1783"/>
      <c r="V159" s="97" t="s">
        <v>271</v>
      </c>
      <c r="W159" s="1795"/>
      <c r="X159" s="1795"/>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3" t="s">
        <v>2619</v>
      </c>
      <c r="P160" s="1783"/>
      <c r="Q160" s="1783"/>
      <c r="R160" s="1783"/>
      <c r="S160" s="1783"/>
      <c r="T160" s="1783"/>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7" t="s">
        <v>2697</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3" t="s">
        <v>2218</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6"/>
      <c r="V176" s="1426"/>
      <c r="W176" s="1" t="s">
        <v>306</v>
      </c>
      <c r="X176" s="1786"/>
      <c r="Y176" s="1786"/>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5"/>
      <c r="AG178" s="1785"/>
      <c r="AH178" s="1" t="s">
        <v>306</v>
      </c>
      <c r="AI178" s="1806"/>
      <c r="AJ178" s="1806"/>
      <c r="AK178" s="180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Vista Del Roble Phase II</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2614</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2615</v>
      </c>
      <c r="J189" s="1371"/>
      <c r="K189" s="1371"/>
      <c r="L189" s="1371"/>
      <c r="M189" s="1371"/>
      <c r="N189" s="1371"/>
      <c r="O189" s="1371"/>
      <c r="P189" s="1371"/>
      <c r="Q189" t="s">
        <v>583</v>
      </c>
      <c r="T189" s="1371" t="s">
        <v>204</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95695</v>
      </c>
      <c r="J190" s="1348"/>
      <c r="K190" s="1348"/>
      <c r="L190" s="1348"/>
      <c r="M190" s="1348"/>
      <c r="N190" s="1348"/>
      <c r="O190" t="s">
        <v>586</v>
      </c>
      <c r="T190" s="1792">
        <v>109.02</v>
      </c>
      <c r="U190" s="1792"/>
      <c r="V190" s="1792"/>
      <c r="W190" s="1792"/>
      <c r="X190" s="1792"/>
      <c r="Y190" s="1792"/>
      <c r="Z190" s="1792"/>
      <c r="AA190" s="1792"/>
      <c r="AB190" s="1792"/>
      <c r="AC190" s="1792"/>
      <c r="AD190" s="1792"/>
      <c r="AE190" s="1792"/>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5" t="s">
        <v>2620</v>
      </c>
      <c r="O191" s="1805"/>
      <c r="P191" s="1805"/>
      <c r="Q191" s="1805"/>
      <c r="R191" s="1805"/>
      <c r="S191" s="1805"/>
      <c r="T191" s="1805"/>
      <c r="U191" s="1805"/>
      <c r="V191" s="1805"/>
      <c r="W191" s="1805"/>
      <c r="X191" s="1805"/>
      <c r="Y191" s="1805"/>
      <c r="Z191" s="1805"/>
      <c r="AA191" s="1805"/>
      <c r="AB191" s="1805"/>
      <c r="AC191" s="1805"/>
      <c r="AD191" s="1805"/>
      <c r="AE191" s="1805"/>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6" t="s">
        <v>2215</v>
      </c>
      <c r="U193" s="1796"/>
      <c r="V193" s="1796"/>
      <c r="W193" s="1796"/>
      <c r="X193" s="1796"/>
      <c r="Y193" s="1796"/>
      <c r="Z193" s="1796"/>
      <c r="AA193" s="1796"/>
      <c r="AB193" s="1796"/>
      <c r="AC193" s="1796"/>
      <c r="AD193" s="1796"/>
      <c r="AE193" s="1796"/>
      <c r="AF193" s="1796"/>
      <c r="AG193" s="1796"/>
      <c r="AH193" s="1796"/>
      <c r="AI193" s="1796"/>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3</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670</v>
      </c>
      <c r="U196" s="1402"/>
      <c r="W196" t="s">
        <v>686</v>
      </c>
      <c r="AH196" s="1332">
        <v>4</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3</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v>0</v>
      </c>
      <c r="U198" s="1402"/>
      <c r="V198"/>
      <c r="X198" s="1413" t="s">
        <v>2516</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670</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4">
        <f>M26</f>
        <v>1566282</v>
      </c>
      <c r="Q204" s="1784"/>
      <c r="R204" s="1784"/>
      <c r="S204" s="1784"/>
      <c r="T204" s="1784"/>
      <c r="U204" s="1784"/>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3" t="s">
        <v>1248</v>
      </c>
      <c r="E205" s="1358"/>
      <c r="F205" s="1358"/>
      <c r="G205" s="1358"/>
      <c r="H205" s="1358"/>
      <c r="I205" s="1358"/>
      <c r="J205" s="1358"/>
      <c r="K205" s="1358"/>
      <c r="L205" s="1358"/>
      <c r="M205" s="1358"/>
      <c r="P205" s="1784">
        <f>M27</f>
        <v>8638450</v>
      </c>
      <c r="Q205" s="1784"/>
      <c r="R205" s="1784"/>
      <c r="S205" s="1784"/>
      <c r="T205" s="1784"/>
      <c r="U205" s="1784"/>
      <c r="V205" s="28"/>
      <c r="W205" s="3" t="s">
        <v>1721</v>
      </c>
      <c r="Z205" s="1811" t="s">
        <v>2230</v>
      </c>
      <c r="AA205" s="1811"/>
      <c r="AB205" s="1811"/>
      <c r="AC205" s="1811"/>
      <c r="AD205" s="1811"/>
      <c r="AE205" s="1811"/>
      <c r="AF205" s="1811"/>
      <c r="AG205" s="1811"/>
      <c r="AH205" s="1811"/>
      <c r="AI205" s="1811"/>
      <c r="AJ205" s="1811"/>
      <c r="AK205" s="1811"/>
      <c r="AL205" s="1811"/>
      <c r="AM205" s="1811"/>
      <c r="AN205" s="1811"/>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2621</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1042</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0</v>
      </c>
      <c r="R212" s="1332"/>
      <c r="T212" s="1798">
        <f>IFERROR(Q212/AG440,0)</f>
        <v>0</v>
      </c>
      <c r="U212" s="1799"/>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1" t="s">
        <v>592</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1065</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2" t="s">
        <v>2470</v>
      </c>
      <c r="AD220" s="1812"/>
      <c r="AE220" s="1812"/>
      <c r="AF220" s="1812"/>
      <c r="AG220" s="1812"/>
      <c r="AH220" s="1812"/>
      <c r="AI220" s="1812"/>
      <c r="AJ220" s="1812"/>
      <c r="AK220" s="1812"/>
      <c r="AL220" s="1812"/>
      <c r="AM220" s="1812"/>
      <c r="AN220" s="1812"/>
      <c r="AO220" s="1812"/>
      <c r="AP220" s="1812"/>
      <c r="AQ220" s="1812"/>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3" t="str">
        <f>H16</f>
        <v xml:space="preserve">Pacific Southwest Community Development Corporation </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2632</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730</v>
      </c>
      <c r="N234" s="1417"/>
      <c r="O234" s="1417"/>
      <c r="P234" s="1417"/>
      <c r="Q234" s="1417"/>
      <c r="R234" s="1417"/>
      <c r="S234" s="1417"/>
      <c r="T234" s="1417"/>
      <c r="V234" s="33" t="s">
        <v>86</v>
      </c>
      <c r="W234" s="1547" t="s">
        <v>2624</v>
      </c>
      <c r="X234" s="1438"/>
      <c r="Y234" s="4" t="s">
        <v>584</v>
      </c>
      <c r="AC234" s="1417">
        <v>92127</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2633</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693" t="s">
        <v>2634</v>
      </c>
      <c r="N236" s="1346"/>
      <c r="O236" s="1346"/>
      <c r="P236" s="1346"/>
      <c r="Q236" s="1346"/>
      <c r="R236" s="1346"/>
      <c r="S236" s="4" t="s">
        <v>206</v>
      </c>
      <c r="T236" s="4"/>
      <c r="U236" s="1438"/>
      <c r="V236" s="1438"/>
      <c r="W236" s="1438"/>
      <c r="X236" s="4" t="s">
        <v>89</v>
      </c>
      <c r="Z236" s="1693" t="s">
        <v>2635</v>
      </c>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7" t="s">
        <v>2698</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377</v>
      </c>
      <c r="N238" s="1348"/>
      <c r="O238" s="1348"/>
      <c r="P238" s="1348"/>
      <c r="Q238" s="1348"/>
      <c r="R238" s="1348"/>
      <c r="S238" s="1348"/>
      <c r="T238" s="1348"/>
      <c r="U238" s="204" t="s">
        <v>907</v>
      </c>
      <c r="V238" s="204"/>
      <c r="W238" s="204"/>
      <c r="X238" s="204"/>
      <c r="Y238" s="204"/>
      <c r="Z238" s="204"/>
      <c r="AA238" s="1777"/>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19" t="s">
        <v>2630</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2631</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6" t="s">
        <v>2632</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t="s">
        <v>730</v>
      </c>
      <c r="N245" s="1417"/>
      <c r="O245" s="1417"/>
      <c r="P245" s="1417"/>
      <c r="Q245" s="1417"/>
      <c r="R245" s="1417"/>
      <c r="S245" s="1417"/>
      <c r="T245" s="1417"/>
      <c r="V245" s="33" t="s">
        <v>86</v>
      </c>
      <c r="W245" s="1547" t="s">
        <v>2624</v>
      </c>
      <c r="X245" s="1438"/>
      <c r="Y245" s="4" t="s">
        <v>584</v>
      </c>
      <c r="AC245" s="1417">
        <v>92127</v>
      </c>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6" t="s">
        <v>2633</v>
      </c>
      <c r="N246" s="1417"/>
      <c r="O246" s="1417"/>
      <c r="P246" s="1417"/>
      <c r="Q246" s="1417"/>
      <c r="R246" s="1417"/>
      <c r="S246" s="1417"/>
      <c r="T246" s="1417"/>
      <c r="U246" s="1417"/>
      <c r="V246" s="1417"/>
      <c r="W246" s="1417"/>
      <c r="X246" s="1417"/>
      <c r="Y246" s="1417"/>
      <c r="Z246" s="1417"/>
      <c r="AA246" s="1417"/>
      <c r="AB246" s="1417"/>
      <c r="AC246" s="1417"/>
      <c r="AD246" s="1417"/>
      <c r="AE246" s="1417"/>
      <c r="AH246" s="1780">
        <v>0.01</v>
      </c>
      <c r="AI246" s="1780"/>
      <c r="AJ246" s="1780"/>
      <c r="AK246" s="178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693" t="s">
        <v>2634</v>
      </c>
      <c r="N247" s="1346"/>
      <c r="O247" s="1346"/>
      <c r="P247" s="1346"/>
      <c r="Q247" s="1346"/>
      <c r="R247" s="1346"/>
      <c r="S247" s="4" t="s">
        <v>206</v>
      </c>
      <c r="T247" s="4"/>
      <c r="U247" s="1438"/>
      <c r="V247" s="1438"/>
      <c r="W247" s="1438"/>
      <c r="X247" s="4" t="s">
        <v>89</v>
      </c>
      <c r="Z247" s="1693" t="s">
        <v>2635</v>
      </c>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7" t="s">
        <v>2628</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78"/>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t="s">
        <v>2636</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2637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6" t="s">
        <v>2622</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6" t="s">
        <v>2623</v>
      </c>
      <c r="N253" s="1417"/>
      <c r="O253" s="1417"/>
      <c r="P253" s="1417"/>
      <c r="Q253" s="1417"/>
      <c r="R253" s="1417"/>
      <c r="S253" s="1417"/>
      <c r="T253" s="1417"/>
      <c r="V253" s="33" t="s">
        <v>86</v>
      </c>
      <c r="W253" s="1547" t="s">
        <v>2624</v>
      </c>
      <c r="X253" s="1438"/>
      <c r="Y253" s="4" t="s">
        <v>584</v>
      </c>
      <c r="AC253" s="1417">
        <v>92011</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2625</v>
      </c>
      <c r="N254" s="1417"/>
      <c r="O254" s="1417"/>
      <c r="P254" s="1417"/>
      <c r="Q254" s="1417"/>
      <c r="R254" s="1417"/>
      <c r="S254" s="1417"/>
      <c r="T254" s="1417"/>
      <c r="U254" s="1417"/>
      <c r="V254" s="1417"/>
      <c r="W254" s="1417"/>
      <c r="X254" s="1417"/>
      <c r="Y254" s="1417"/>
      <c r="Z254" s="1417"/>
      <c r="AA254" s="1417"/>
      <c r="AB254" s="1417"/>
      <c r="AC254" s="1417"/>
      <c r="AD254" s="1417"/>
      <c r="AE254" s="1417"/>
      <c r="AH254" s="1782">
        <v>0.03</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693" t="s">
        <v>2626</v>
      </c>
      <c r="N255" s="1346"/>
      <c r="O255" s="1346"/>
      <c r="P255" s="1346"/>
      <c r="Q255" s="1346"/>
      <c r="R255" s="1346"/>
      <c r="S255" s="4" t="s">
        <v>206</v>
      </c>
      <c r="T255" s="4"/>
      <c r="U255" s="1438"/>
      <c r="V255" s="1438"/>
      <c r="W255" s="1438"/>
      <c r="X255" s="4" t="s">
        <v>89</v>
      </c>
      <c r="Z255" s="1693" t="s">
        <v>2627</v>
      </c>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7" t="s">
        <v>2638</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537</v>
      </c>
      <c r="N257" s="1348"/>
      <c r="O257" s="1348"/>
      <c r="P257" s="1348"/>
      <c r="Q257" s="1348"/>
      <c r="R257" s="1348"/>
      <c r="S257" s="1348"/>
      <c r="T257" s="1348"/>
      <c r="U257" s="204" t="s">
        <v>907</v>
      </c>
      <c r="V257" s="204"/>
      <c r="W257" s="204"/>
      <c r="X257" s="204"/>
      <c r="Y257" s="204"/>
      <c r="Z257" s="204"/>
      <c r="AA257" s="1777" t="s">
        <v>2629</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8"/>
      <c r="X261" s="1438"/>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8"/>
      <c r="V263" s="1438"/>
      <c r="W263" s="1438"/>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280</v>
      </c>
      <c r="E270" s="1417"/>
      <c r="F270" s="1417"/>
      <c r="G270" s="1417"/>
      <c r="H270" s="1417"/>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t="s">
        <v>2629</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2622</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6" t="s">
        <v>2623</v>
      </c>
      <c r="M276" s="1417"/>
      <c r="N276" s="1417"/>
      <c r="O276" s="1417"/>
      <c r="P276" s="1417"/>
      <c r="Q276" s="1417"/>
      <c r="R276" s="1417"/>
      <c r="S276" s="1417"/>
      <c r="U276" s="33" t="s">
        <v>86</v>
      </c>
      <c r="V276" s="1547" t="s">
        <v>2624</v>
      </c>
      <c r="W276" s="1438"/>
      <c r="X276" s="4" t="s">
        <v>584</v>
      </c>
      <c r="AB276" s="1417">
        <v>92011</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2699</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693" t="s">
        <v>2626</v>
      </c>
      <c r="M278" s="1346"/>
      <c r="N278" s="1346"/>
      <c r="O278" s="1346"/>
      <c r="P278" s="1346"/>
      <c r="Q278" s="1346"/>
      <c r="R278" s="4" t="s">
        <v>206</v>
      </c>
      <c r="S278" s="4"/>
      <c r="T278" s="1438"/>
      <c r="U278" s="1438"/>
      <c r="V278" s="1438"/>
      <c r="W278" s="4" t="s">
        <v>89</v>
      </c>
      <c r="Y278" s="1693" t="s">
        <v>2627</v>
      </c>
      <c r="Z278" s="1346"/>
      <c r="AA278" s="1346"/>
      <c r="AB278" s="1346"/>
      <c r="AC278" s="1346"/>
      <c r="AD278" s="1346"/>
    </row>
    <row r="279" spans="1:51" ht="12.95" customHeight="1">
      <c r="D279" s="4" t="s">
        <v>90</v>
      </c>
      <c r="E279" s="4"/>
      <c r="F279" s="4"/>
      <c r="L279" s="1787" t="s">
        <v>2700</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5" customHeight="1">
      <c r="D280" s="3" t="s">
        <v>624</v>
      </c>
      <c r="E280" s="3"/>
      <c r="F280" s="3"/>
      <c r="G280" s="3"/>
      <c r="H280" s="3"/>
      <c r="I280" s="3"/>
      <c r="L280" s="1547" t="s">
        <v>2639</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2629</v>
      </c>
      <c r="I287" s="1371"/>
      <c r="J287" s="1371"/>
      <c r="K287" s="1371"/>
      <c r="L287" s="1371"/>
      <c r="M287" s="1371"/>
      <c r="N287" s="1371"/>
      <c r="O287" s="1371"/>
      <c r="P287" s="1371"/>
      <c r="Q287" s="1371"/>
      <c r="R287" s="1371"/>
      <c r="T287" s="3" t="s">
        <v>568</v>
      </c>
      <c r="V287" s="3"/>
      <c r="W287" s="3"/>
      <c r="X287" s="3"/>
      <c r="Y287" s="3"/>
      <c r="AA287" s="1371" t="s">
        <v>2642</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2640</v>
      </c>
      <c r="I288" s="1348"/>
      <c r="J288" s="1348"/>
      <c r="K288" s="1348"/>
      <c r="L288" s="1348"/>
      <c r="M288" s="1348"/>
      <c r="N288" s="1348"/>
      <c r="O288" s="1348"/>
      <c r="P288" s="1348"/>
      <c r="Q288" s="1348"/>
      <c r="R288" s="1348"/>
      <c r="T288" s="3" t="s">
        <v>472</v>
      </c>
      <c r="V288" s="3"/>
      <c r="W288" s="3"/>
      <c r="X288" s="3"/>
      <c r="Y288" s="3"/>
      <c r="AA288" s="1348" t="s">
        <v>2643</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2641</v>
      </c>
      <c r="I289" s="1348"/>
      <c r="J289" s="1348"/>
      <c r="K289" s="1348"/>
      <c r="L289" s="1348"/>
      <c r="M289" s="1348"/>
      <c r="N289" s="1348"/>
      <c r="O289" s="1348"/>
      <c r="P289" s="1348"/>
      <c r="Q289" s="1348"/>
      <c r="R289" s="1348"/>
      <c r="T289" s="3" t="s">
        <v>75</v>
      </c>
      <c r="V289" s="3"/>
      <c r="W289" s="3"/>
      <c r="X289" s="3"/>
      <c r="Y289" s="3"/>
      <c r="AA289" s="1348" t="s">
        <v>2644</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2625</v>
      </c>
      <c r="I290" s="1348"/>
      <c r="J290" s="1348"/>
      <c r="K290" s="1348"/>
      <c r="L290" s="1348"/>
      <c r="M290" s="1348"/>
      <c r="N290" s="1348"/>
      <c r="O290" s="1348"/>
      <c r="P290" s="1348"/>
      <c r="Q290" s="1348"/>
      <c r="R290" s="1348"/>
      <c r="T290" s="3" t="s">
        <v>87</v>
      </c>
      <c r="V290" s="3"/>
      <c r="W290" s="3"/>
      <c r="X290" s="3"/>
      <c r="Y290" s="3"/>
      <c r="AA290" s="1348" t="s">
        <v>2645</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4" t="s">
        <v>2626</v>
      </c>
      <c r="I291" s="1424"/>
      <c r="J291" s="1424"/>
      <c r="K291" s="1424"/>
      <c r="L291" s="1424"/>
      <c r="M291" s="1424"/>
      <c r="N291" s="4" t="s">
        <v>206</v>
      </c>
      <c r="O291" s="4"/>
      <c r="P291" s="1417"/>
      <c r="Q291" s="1417"/>
      <c r="R291" s="1417"/>
      <c r="S291" s="3"/>
      <c r="T291" s="3" t="s">
        <v>88</v>
      </c>
      <c r="V291" s="3"/>
      <c r="W291" s="3"/>
      <c r="X291" s="3"/>
      <c r="Y291" s="3"/>
      <c r="AA291" s="1424" t="s">
        <v>2646</v>
      </c>
      <c r="AB291" s="1424"/>
      <c r="AC291" s="1424"/>
      <c r="AD291" s="1424"/>
      <c r="AE291" s="1424"/>
      <c r="AF291" s="1424"/>
      <c r="AG291" s="4" t="s">
        <v>206</v>
      </c>
      <c r="AH291" s="4"/>
      <c r="AI291" s="1417"/>
      <c r="AJ291" s="1417"/>
      <c r="AK291" s="1417"/>
    </row>
    <row r="292" spans="2:37" ht="12.95" customHeight="1">
      <c r="B292" s="3" t="s">
        <v>89</v>
      </c>
      <c r="C292" s="3"/>
      <c r="D292" s="3"/>
      <c r="E292" s="3"/>
      <c r="F292" s="3"/>
      <c r="G292" s="3"/>
      <c r="H292" s="1346" t="s">
        <v>2627</v>
      </c>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2628</v>
      </c>
      <c r="I293" s="1348"/>
      <c r="J293" s="1348"/>
      <c r="K293" s="1348"/>
      <c r="L293" s="1348"/>
      <c r="M293" s="1348"/>
      <c r="N293" s="1371"/>
      <c r="O293" s="1371"/>
      <c r="P293" s="1371"/>
      <c r="Q293" s="1371"/>
      <c r="R293" s="1371"/>
      <c r="S293" s="3"/>
      <c r="T293" s="3" t="s">
        <v>76</v>
      </c>
      <c r="V293" s="3"/>
      <c r="W293" s="3"/>
      <c r="X293" s="3"/>
      <c r="Y293" s="3"/>
      <c r="AA293" s="1348" t="s">
        <v>2647</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2648</v>
      </c>
      <c r="I295" s="1371"/>
      <c r="J295" s="1371"/>
      <c r="K295" s="1371"/>
      <c r="L295" s="1371"/>
      <c r="M295" s="1371"/>
      <c r="N295" s="1371"/>
      <c r="O295" s="1371"/>
      <c r="P295" s="1371"/>
      <c r="Q295" s="1371"/>
      <c r="R295" s="1371"/>
      <c r="T295" s="3" t="s">
        <v>364</v>
      </c>
      <c r="V295" s="3"/>
      <c r="W295" s="3"/>
      <c r="X295" s="3"/>
      <c r="Y295" s="3"/>
      <c r="AA295" s="1371" t="s">
        <v>2654</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2649</v>
      </c>
      <c r="I296" s="1348"/>
      <c r="J296" s="1348"/>
      <c r="K296" s="1348"/>
      <c r="L296" s="1348"/>
      <c r="M296" s="1348"/>
      <c r="N296" s="1348"/>
      <c r="O296" s="1348"/>
      <c r="P296" s="1348"/>
      <c r="Q296" s="1348"/>
      <c r="R296" s="1348"/>
      <c r="T296" s="3" t="s">
        <v>472</v>
      </c>
      <c r="V296" s="3"/>
      <c r="W296" s="3"/>
      <c r="X296" s="3"/>
      <c r="Y296" s="3"/>
      <c r="AA296" s="1348" t="s">
        <v>2622</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2650</v>
      </c>
      <c r="I297" s="1348"/>
      <c r="J297" s="1348"/>
      <c r="K297" s="1348"/>
      <c r="L297" s="1348"/>
      <c r="M297" s="1348"/>
      <c r="N297" s="1348"/>
      <c r="O297" s="1348"/>
      <c r="P297" s="1348"/>
      <c r="Q297" s="1348"/>
      <c r="R297" s="1348"/>
      <c r="T297" s="3" t="s">
        <v>75</v>
      </c>
      <c r="V297" s="3"/>
      <c r="W297" s="3"/>
      <c r="X297" s="3"/>
      <c r="Y297" s="3"/>
      <c r="AA297" s="1348" t="s">
        <v>2655</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2651</v>
      </c>
      <c r="I298" s="1348"/>
      <c r="J298" s="1348"/>
      <c r="K298" s="1348"/>
      <c r="L298" s="1348"/>
      <c r="M298" s="1348"/>
      <c r="N298" s="1348"/>
      <c r="O298" s="1348"/>
      <c r="P298" s="1348"/>
      <c r="Q298" s="1348"/>
      <c r="R298" s="1348"/>
      <c r="T298" s="3" t="s">
        <v>87</v>
      </c>
      <c r="V298" s="3"/>
      <c r="W298" s="3"/>
      <c r="X298" s="3"/>
      <c r="Y298" s="3"/>
      <c r="AA298" s="1348" t="s">
        <v>2656</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4" t="s">
        <v>2652</v>
      </c>
      <c r="I299" s="1424"/>
      <c r="J299" s="1424"/>
      <c r="K299" s="1424"/>
      <c r="L299" s="1424"/>
      <c r="M299" s="1424"/>
      <c r="N299" s="4" t="s">
        <v>206</v>
      </c>
      <c r="O299" s="4"/>
      <c r="P299" s="1417"/>
      <c r="Q299" s="1417"/>
      <c r="R299" s="1417"/>
      <c r="S299" s="3"/>
      <c r="T299" s="3" t="s">
        <v>88</v>
      </c>
      <c r="V299" s="3"/>
      <c r="W299" s="3"/>
      <c r="X299" s="3"/>
      <c r="Y299" s="3"/>
      <c r="AA299" s="1424" t="s">
        <v>2657</v>
      </c>
      <c r="AB299" s="1424"/>
      <c r="AC299" s="1424"/>
      <c r="AD299" s="1424"/>
      <c r="AE299" s="1424"/>
      <c r="AF299" s="1424"/>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2653</v>
      </c>
      <c r="I301" s="1348"/>
      <c r="J301" s="1348"/>
      <c r="K301" s="1348"/>
      <c r="L301" s="1348"/>
      <c r="M301" s="1348"/>
      <c r="N301" s="1371"/>
      <c r="O301" s="1371"/>
      <c r="P301" s="1371"/>
      <c r="Q301" s="1371"/>
      <c r="R301" s="1371"/>
      <c r="S301" s="3"/>
      <c r="T301" s="3" t="s">
        <v>76</v>
      </c>
      <c r="V301" s="3"/>
      <c r="W301" s="3"/>
      <c r="X301" s="3"/>
      <c r="Y301" s="3"/>
      <c r="AA301" s="1348" t="s">
        <v>2658</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2659</v>
      </c>
      <c r="I303" s="1371"/>
      <c r="J303" s="1371"/>
      <c r="K303" s="1371"/>
      <c r="L303" s="1371"/>
      <c r="M303" s="1371"/>
      <c r="N303" s="1371"/>
      <c r="O303" s="1371"/>
      <c r="P303" s="1371"/>
      <c r="Q303" s="1371"/>
      <c r="R303" s="1371"/>
      <c r="T303" s="4" t="s">
        <v>879</v>
      </c>
      <c r="V303" s="3"/>
      <c r="W303" s="3"/>
      <c r="X303" s="3"/>
      <c r="Y303" s="3"/>
      <c r="AA303" s="1371" t="s">
        <v>592</v>
      </c>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2660</v>
      </c>
      <c r="I304" s="1348"/>
      <c r="J304" s="1348"/>
      <c r="K304" s="1348"/>
      <c r="L304" s="1348"/>
      <c r="M304" s="1348"/>
      <c r="N304" s="1348"/>
      <c r="O304" s="1348"/>
      <c r="P304" s="1348"/>
      <c r="Q304" s="1348"/>
      <c r="R304" s="1348"/>
      <c r="T304" s="3" t="s">
        <v>472</v>
      </c>
      <c r="V304" s="3"/>
      <c r="W304" s="3"/>
      <c r="X304" s="3"/>
      <c r="Y304" s="3"/>
      <c r="AA304" s="1348"/>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2661</v>
      </c>
      <c r="I305" s="1348"/>
      <c r="J305" s="1348"/>
      <c r="K305" s="1348"/>
      <c r="L305" s="1348"/>
      <c r="M305" s="1348"/>
      <c r="N305" s="1348"/>
      <c r="O305" s="1348"/>
      <c r="P305" s="1348"/>
      <c r="Q305" s="1348"/>
      <c r="R305" s="1348"/>
      <c r="T305" s="3" t="s">
        <v>75</v>
      </c>
      <c r="V305" s="3"/>
      <c r="W305" s="3"/>
      <c r="X305" s="3"/>
      <c r="Y305" s="3"/>
      <c r="AA305" s="1348"/>
      <c r="AB305" s="1348"/>
      <c r="AC305" s="1348"/>
      <c r="AD305" s="1348"/>
      <c r="AE305" s="1348"/>
      <c r="AF305" s="1348"/>
      <c r="AG305" s="1348"/>
      <c r="AH305" s="1348"/>
      <c r="AI305" s="1348"/>
      <c r="AJ305" s="1348"/>
      <c r="AK305" s="1348"/>
    </row>
    <row r="306" spans="2:37" ht="12.95" customHeight="1">
      <c r="B306" s="3" t="s">
        <v>87</v>
      </c>
      <c r="C306" s="3"/>
      <c r="D306" s="3"/>
      <c r="E306" s="3"/>
      <c r="F306" s="3"/>
      <c r="H306" s="1348" t="s">
        <v>2662</v>
      </c>
      <c r="I306" s="1348"/>
      <c r="J306" s="1348"/>
      <c r="K306" s="1348"/>
      <c r="L306" s="1348"/>
      <c r="M306" s="1348"/>
      <c r="N306" s="1348"/>
      <c r="O306" s="1348"/>
      <c r="P306" s="1348"/>
      <c r="Q306" s="1348"/>
      <c r="R306" s="1348"/>
      <c r="T306" s="3" t="s">
        <v>87</v>
      </c>
      <c r="V306" s="3"/>
      <c r="W306" s="3"/>
      <c r="X306" s="3"/>
      <c r="Y306" s="3"/>
      <c r="AA306" s="1348"/>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4" t="s">
        <v>2663</v>
      </c>
      <c r="I307" s="1424"/>
      <c r="J307" s="1424"/>
      <c r="K307" s="1424"/>
      <c r="L307" s="1424"/>
      <c r="M307" s="1424"/>
      <c r="N307" s="4" t="s">
        <v>206</v>
      </c>
      <c r="O307" s="4"/>
      <c r="P307" s="1417"/>
      <c r="Q307" s="1417"/>
      <c r="R307" s="1417"/>
      <c r="S307" s="3"/>
      <c r="T307" s="3" t="s">
        <v>88</v>
      </c>
      <c r="V307" s="3"/>
      <c r="W307" s="3"/>
      <c r="X307" s="3"/>
      <c r="Y307" s="3"/>
      <c r="AA307" s="1424"/>
      <c r="AB307" s="1424"/>
      <c r="AC307" s="1424"/>
      <c r="AD307" s="1424"/>
      <c r="AE307" s="1424"/>
      <c r="AF307" s="1424"/>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2664</v>
      </c>
      <c r="I309" s="1348"/>
      <c r="J309" s="1348"/>
      <c r="K309" s="1348"/>
      <c r="L309" s="1348"/>
      <c r="M309" s="1348"/>
      <c r="N309" s="1371"/>
      <c r="O309" s="1371"/>
      <c r="P309" s="1371"/>
      <c r="Q309" s="1371"/>
      <c r="R309" s="1371"/>
      <c r="S309" s="3"/>
      <c r="T309" s="3" t="s">
        <v>76</v>
      </c>
      <c r="V309" s="3"/>
      <c r="W309" s="3"/>
      <c r="X309" s="3"/>
      <c r="Y309" s="3"/>
      <c r="AA309" s="1348"/>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t="s">
        <v>2665</v>
      </c>
      <c r="I311" s="1371"/>
      <c r="J311" s="1371"/>
      <c r="K311" s="1371"/>
      <c r="L311" s="1371"/>
      <c r="M311" s="1371"/>
      <c r="N311" s="1371"/>
      <c r="O311" s="1371"/>
      <c r="P311" s="1371"/>
      <c r="Q311" s="1371"/>
      <c r="R311" s="1371"/>
      <c r="S311" s="3"/>
      <c r="T311" s="3" t="s">
        <v>365</v>
      </c>
      <c r="V311" s="3"/>
      <c r="W311" s="3"/>
      <c r="X311" s="3"/>
      <c r="Y311" s="3"/>
      <c r="AA311" s="1416" t="s">
        <v>2749</v>
      </c>
      <c r="AB311" s="1371"/>
      <c r="AC311" s="1371"/>
      <c r="AD311" s="1371"/>
      <c r="AE311" s="1371"/>
      <c r="AF311" s="1371"/>
      <c r="AG311" s="1371"/>
      <c r="AH311" s="1371"/>
      <c r="AI311" s="1371"/>
      <c r="AJ311" s="1371"/>
      <c r="AK311" s="1371"/>
    </row>
    <row r="312" spans="2:37" ht="12.95" customHeight="1">
      <c r="B312" s="3" t="s">
        <v>472</v>
      </c>
      <c r="C312" s="3"/>
      <c r="D312" s="3"/>
      <c r="E312" s="3"/>
      <c r="F312" s="3"/>
      <c r="H312" s="1348" t="s">
        <v>2666</v>
      </c>
      <c r="I312" s="1348"/>
      <c r="J312" s="1348"/>
      <c r="K312" s="1348"/>
      <c r="L312" s="1348"/>
      <c r="M312" s="1348"/>
      <c r="N312" s="1348"/>
      <c r="O312" s="1348"/>
      <c r="P312" s="1348"/>
      <c r="Q312" s="1348"/>
      <c r="R312" s="1348"/>
      <c r="S312" s="3"/>
      <c r="T312" s="3" t="s">
        <v>472</v>
      </c>
      <c r="V312" s="3"/>
      <c r="W312" s="3"/>
      <c r="X312" s="3"/>
      <c r="Y312" s="3"/>
      <c r="AA312" s="1348" t="s">
        <v>2742</v>
      </c>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2667</v>
      </c>
      <c r="I313" s="1348"/>
      <c r="J313" s="1348"/>
      <c r="K313" s="1348"/>
      <c r="L313" s="1348"/>
      <c r="M313" s="1348"/>
      <c r="N313" s="1348"/>
      <c r="O313" s="1348"/>
      <c r="P313" s="1348"/>
      <c r="Q313" s="1348"/>
      <c r="R313" s="1348"/>
      <c r="S313" s="3"/>
      <c r="T313" s="3" t="s">
        <v>75</v>
      </c>
      <c r="V313" s="3"/>
      <c r="W313" s="3"/>
      <c r="X313" s="3"/>
      <c r="Y313" s="3"/>
      <c r="AA313" s="1348" t="s">
        <v>2743</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2668</v>
      </c>
      <c r="I314" s="1348"/>
      <c r="J314" s="1348"/>
      <c r="K314" s="1348"/>
      <c r="L314" s="1348"/>
      <c r="M314" s="1348"/>
      <c r="N314" s="1348"/>
      <c r="O314" s="1348"/>
      <c r="P314" s="1348"/>
      <c r="Q314" s="1348"/>
      <c r="R314" s="1348"/>
      <c r="S314" s="3"/>
      <c r="T314" s="3" t="s">
        <v>87</v>
      </c>
      <c r="V314" s="3"/>
      <c r="W314" s="3"/>
      <c r="X314" s="3"/>
      <c r="Y314" s="3"/>
      <c r="AA314" s="1348" t="s">
        <v>2740</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4">
        <v>5622562329</v>
      </c>
      <c r="I315" s="1424"/>
      <c r="J315" s="1424"/>
      <c r="K315" s="1424"/>
      <c r="L315" s="1424"/>
      <c r="M315" s="1424"/>
      <c r="N315" s="4" t="s">
        <v>206</v>
      </c>
      <c r="O315" s="4"/>
      <c r="P315" s="1417"/>
      <c r="Q315" s="1417"/>
      <c r="R315" s="1417"/>
      <c r="S315" s="3"/>
      <c r="T315" s="3" t="s">
        <v>88</v>
      </c>
      <c r="V315" s="3"/>
      <c r="W315" s="3"/>
      <c r="X315" s="3"/>
      <c r="Y315" s="3"/>
      <c r="AA315" s="1424">
        <v>5034598741</v>
      </c>
      <c r="AB315" s="1424"/>
      <c r="AC315" s="1424"/>
      <c r="AD315" s="1424"/>
      <c r="AE315" s="1424"/>
      <c r="AF315" s="1424"/>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2669</v>
      </c>
      <c r="I317" s="1348"/>
      <c r="J317" s="1348"/>
      <c r="K317" s="1348"/>
      <c r="L317" s="1348"/>
      <c r="M317" s="1348"/>
      <c r="N317" s="1371"/>
      <c r="O317" s="1371"/>
      <c r="P317" s="1371"/>
      <c r="Q317" s="1371"/>
      <c r="R317" s="1371"/>
      <c r="S317" s="3"/>
      <c r="T317" s="3" t="s">
        <v>76</v>
      </c>
      <c r="V317" s="3"/>
      <c r="W317" s="3"/>
      <c r="X317" s="3"/>
      <c r="Y317" s="3"/>
      <c r="AA317" s="1348" t="s">
        <v>2750</v>
      </c>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t="s">
        <v>592</v>
      </c>
      <c r="I319" s="1371"/>
      <c r="J319" s="1371"/>
      <c r="K319" s="1371"/>
      <c r="L319" s="1371"/>
      <c r="M319" s="1371"/>
      <c r="N319" s="1371"/>
      <c r="O319" s="1371"/>
      <c r="P319" s="1371"/>
      <c r="Q319" s="1371"/>
      <c r="R319" s="1371"/>
      <c r="T319" s="3" t="s">
        <v>366</v>
      </c>
      <c r="V319" s="3"/>
      <c r="W319" s="3"/>
      <c r="X319" s="3"/>
      <c r="Y319" s="3"/>
      <c r="AA319" s="1371" t="s">
        <v>2670</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2671</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2672</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2673</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c r="I323" s="1424"/>
      <c r="J323" s="1424"/>
      <c r="K323" s="1424"/>
      <c r="L323" s="1424"/>
      <c r="M323" s="1424"/>
      <c r="N323" s="4" t="s">
        <v>206</v>
      </c>
      <c r="O323" s="4"/>
      <c r="P323" s="1417"/>
      <c r="Q323" s="1417"/>
      <c r="R323" s="1417"/>
      <c r="S323" s="3"/>
      <c r="T323" s="3" t="s">
        <v>88</v>
      </c>
      <c r="V323" s="3"/>
      <c r="W323" s="3"/>
      <c r="X323" s="3"/>
      <c r="Y323" s="3"/>
      <c r="AA323" s="1424" t="s">
        <v>2674</v>
      </c>
      <c r="AB323" s="1424"/>
      <c r="AC323" s="1424"/>
      <c r="AD323" s="1424"/>
      <c r="AE323" s="1424"/>
      <c r="AF323" s="1424"/>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2675</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t="s">
        <v>2670</v>
      </c>
      <c r="I327" s="1371"/>
      <c r="J327" s="1371"/>
      <c r="K327" s="1371"/>
      <c r="L327" s="1371"/>
      <c r="M327" s="1371"/>
      <c r="N327" s="1371"/>
      <c r="O327" s="1371"/>
      <c r="P327" s="1371"/>
      <c r="Q327" s="1371"/>
      <c r="R327" s="1371"/>
      <c r="T327" s="3" t="s">
        <v>368</v>
      </c>
      <c r="V327" s="3"/>
      <c r="W327" s="3"/>
      <c r="X327" s="3"/>
      <c r="Y327" s="3"/>
      <c r="AA327" s="1371" t="s">
        <v>592</v>
      </c>
      <c r="AB327" s="1371"/>
      <c r="AC327" s="1371"/>
      <c r="AD327" s="1371"/>
      <c r="AE327" s="1371"/>
      <c r="AF327" s="1371"/>
      <c r="AG327" s="1371"/>
      <c r="AH327" s="1371"/>
      <c r="AI327" s="1371"/>
      <c r="AJ327" s="1371"/>
      <c r="AK327" s="1371"/>
    </row>
    <row r="328" spans="2:37" ht="12.95" customHeight="1">
      <c r="B328" s="3" t="s">
        <v>472</v>
      </c>
      <c r="C328" s="3"/>
      <c r="D328" s="3"/>
      <c r="E328" s="3"/>
      <c r="F328" s="3"/>
      <c r="H328" s="1348" t="s">
        <v>2671</v>
      </c>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t="s">
        <v>2672</v>
      </c>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t="s">
        <v>2673</v>
      </c>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4" t="s">
        <v>2674</v>
      </c>
      <c r="I331" s="1424"/>
      <c r="J331" s="1424"/>
      <c r="K331" s="1424"/>
      <c r="L331" s="1424"/>
      <c r="M331" s="1424"/>
      <c r="N331" s="4" t="s">
        <v>206</v>
      </c>
      <c r="O331" s="4"/>
      <c r="P331" s="1417"/>
      <c r="Q331" s="1417"/>
      <c r="R331" s="1417"/>
      <c r="S331" s="3"/>
      <c r="T331" s="3" t="s">
        <v>88</v>
      </c>
      <c r="V331" s="3"/>
      <c r="W331" s="3"/>
      <c r="X331" s="3"/>
      <c r="Y331" s="3"/>
      <c r="AA331" s="1424"/>
      <c r="AB331" s="1424"/>
      <c r="AC331" s="1424"/>
      <c r="AD331" s="1424"/>
      <c r="AE331" s="1424"/>
      <c r="AF331" s="1424"/>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2675</v>
      </c>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2676</v>
      </c>
      <c r="I335" s="1371"/>
      <c r="J335" s="1371"/>
      <c r="K335" s="1371"/>
      <c r="L335" s="1371"/>
      <c r="M335" s="1371"/>
      <c r="N335" s="1371"/>
      <c r="O335" s="1371"/>
      <c r="P335" s="1371"/>
      <c r="Q335" s="1371"/>
      <c r="R335" s="1371"/>
      <c r="T335" s="204" t="s">
        <v>887</v>
      </c>
      <c r="V335" s="3"/>
      <c r="W335" s="3"/>
      <c r="X335" s="3"/>
      <c r="Y335" s="3"/>
      <c r="AA335" s="1371" t="s">
        <v>2681</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2677</v>
      </c>
      <c r="I336" s="1348"/>
      <c r="J336" s="1348"/>
      <c r="K336" s="1348"/>
      <c r="L336" s="1348"/>
      <c r="M336" s="1348"/>
      <c r="N336" s="1348"/>
      <c r="O336" s="1348"/>
      <c r="P336" s="1348"/>
      <c r="Q336" s="1348"/>
      <c r="R336" s="1348"/>
      <c r="T336" s="3" t="s">
        <v>472</v>
      </c>
      <c r="V336" s="3"/>
      <c r="W336" s="3"/>
      <c r="X336" s="3"/>
      <c r="Y336" s="3"/>
      <c r="AA336" s="1348" t="s">
        <v>2682</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2655</v>
      </c>
      <c r="I337" s="1348"/>
      <c r="J337" s="1348"/>
      <c r="K337" s="1348"/>
      <c r="L337" s="1348"/>
      <c r="M337" s="1348"/>
      <c r="N337" s="1348"/>
      <c r="O337" s="1348"/>
      <c r="P337" s="1348"/>
      <c r="Q337" s="1348"/>
      <c r="R337" s="1348"/>
      <c r="T337" s="3" t="s">
        <v>75</v>
      </c>
      <c r="V337" s="3"/>
      <c r="W337" s="3"/>
      <c r="X337" s="3"/>
      <c r="Y337" s="3"/>
      <c r="AA337" s="1348" t="s">
        <v>2683</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2678</v>
      </c>
      <c r="I338" s="1348"/>
      <c r="J338" s="1348"/>
      <c r="K338" s="1348"/>
      <c r="L338" s="1348"/>
      <c r="M338" s="1348"/>
      <c r="N338" s="1348"/>
      <c r="O338" s="1348"/>
      <c r="P338" s="1348"/>
      <c r="Q338" s="1348"/>
      <c r="R338" s="1348"/>
      <c r="T338" s="3" t="s">
        <v>87</v>
      </c>
      <c r="V338" s="3"/>
      <c r="W338" s="3"/>
      <c r="X338" s="3"/>
      <c r="Y338" s="3"/>
      <c r="AA338" s="1348" t="s">
        <v>2684</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4" t="s">
        <v>2679</v>
      </c>
      <c r="I339" s="1424"/>
      <c r="J339" s="1424"/>
      <c r="K339" s="1424"/>
      <c r="L339" s="1424"/>
      <c r="M339" s="1424"/>
      <c r="N339" s="4" t="s">
        <v>206</v>
      </c>
      <c r="O339" s="4"/>
      <c r="P339" s="1417"/>
      <c r="Q339" s="1417"/>
      <c r="R339" s="1417"/>
      <c r="S339" s="3"/>
      <c r="T339" s="3" t="s">
        <v>88</v>
      </c>
      <c r="V339" s="3"/>
      <c r="W339" s="3"/>
      <c r="X339" s="3"/>
      <c r="Y339" s="3"/>
      <c r="AA339" s="1423" t="s">
        <v>2686</v>
      </c>
      <c r="AB339" s="1424"/>
      <c r="AC339" s="1424"/>
      <c r="AD339" s="1424"/>
      <c r="AE339" s="1424"/>
      <c r="AF339" s="1424"/>
      <c r="AG339" s="4" t="s">
        <v>206</v>
      </c>
      <c r="AH339" s="4"/>
      <c r="AI339" s="1417"/>
      <c r="AJ339" s="1417"/>
      <c r="AK339" s="1417"/>
    </row>
    <row r="340" spans="1:66" ht="12.95" customHeight="1">
      <c r="B340" s="3" t="s">
        <v>89</v>
      </c>
      <c r="C340" s="3"/>
      <c r="D340" s="3"/>
      <c r="E340" s="3"/>
      <c r="F340" s="3"/>
      <c r="G340" s="3"/>
      <c r="H340" s="1346"/>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2680</v>
      </c>
      <c r="I341" s="1348"/>
      <c r="J341" s="1348"/>
      <c r="K341" s="1348"/>
      <c r="L341" s="1348"/>
      <c r="M341" s="1348"/>
      <c r="N341" s="1371"/>
      <c r="O341" s="1371"/>
      <c r="P341" s="1371"/>
      <c r="Q341" s="1371"/>
      <c r="R341" s="1371"/>
      <c r="S341" s="3"/>
      <c r="T341" s="3" t="s">
        <v>76</v>
      </c>
      <c r="V341" s="3"/>
      <c r="W341" s="3"/>
      <c r="X341" s="3"/>
      <c r="Y341" s="3"/>
      <c r="AA341" s="1348" t="s">
        <v>2685</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16" t="s">
        <v>592</v>
      </c>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592</v>
      </c>
      <c r="N356" s="1332"/>
      <c r="P356" s="3" t="s">
        <v>1720</v>
      </c>
      <c r="AJ356" s="1448">
        <v>0</v>
      </c>
      <c r="AK356" s="1448"/>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4"/>
      <c r="O370" s="1664"/>
      <c r="P370" s="1664"/>
      <c r="Q370" s="1664"/>
      <c r="R370" s="4"/>
      <c r="U370" s="4" t="s">
        <v>450</v>
      </c>
      <c r="V370" s="4"/>
      <c r="W370" s="4"/>
      <c r="X370" s="4"/>
      <c r="Y370" s="4"/>
      <c r="Z370" s="4"/>
      <c r="AA370" s="4"/>
      <c r="AB370" s="4"/>
      <c r="AC370" s="1664"/>
      <c r="AD370" s="1664"/>
      <c r="AE370" s="1664"/>
      <c r="AF370" s="1664"/>
    </row>
    <row r="371" spans="1:34" ht="12.95" customHeight="1">
      <c r="E371" s="4" t="s">
        <v>451</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2.95"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15"/>
      <c r="O373" s="1815"/>
      <c r="P373" s="1815"/>
      <c r="Q373" s="1815"/>
      <c r="R373" s="1815"/>
      <c r="S373" s="1815"/>
      <c r="T373" s="1815"/>
      <c r="U373" s="1815"/>
      <c r="V373" s="1815"/>
      <c r="W373" s="1815"/>
      <c r="X373" s="1815"/>
      <c r="Y373" s="1815"/>
      <c r="Z373" s="1815"/>
      <c r="AA373" s="1815"/>
      <c r="AB373" s="1815"/>
      <c r="AC373" s="1815"/>
      <c r="AD373" s="1815"/>
      <c r="AE373" s="1815"/>
      <c r="AF373" s="1815"/>
    </row>
    <row r="374" spans="1:34" ht="12.95" customHeight="1">
      <c r="E374" s="4"/>
      <c r="F374" s="4"/>
      <c r="G374" s="4"/>
      <c r="H374" s="4"/>
      <c r="I374" s="4"/>
      <c r="J374" s="4"/>
      <c r="K374" s="4"/>
      <c r="L374" s="4"/>
      <c r="N374" s="1816"/>
      <c r="O374" s="1816"/>
      <c r="P374" s="1816"/>
      <c r="Q374" s="1816"/>
      <c r="R374" s="1816"/>
      <c r="S374" s="1816"/>
      <c r="T374" s="1816"/>
      <c r="U374" s="1816"/>
      <c r="V374" s="1816"/>
      <c r="W374" s="1816"/>
      <c r="X374" s="1816"/>
      <c r="Y374" s="1816"/>
      <c r="Z374" s="1816"/>
      <c r="AA374" s="1816"/>
      <c r="AB374" s="1816"/>
      <c r="AC374" s="1816"/>
      <c r="AD374" s="1816"/>
      <c r="AE374" s="1816"/>
      <c r="AF374" s="1816"/>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7"/>
      <c r="T377" s="1817"/>
      <c r="U377" s="1" t="s">
        <v>306</v>
      </c>
      <c r="V377" s="1817"/>
      <c r="W377" s="1817"/>
      <c r="Y377" t="s">
        <v>2081</v>
      </c>
      <c r="AC377" s="27" t="s">
        <v>305</v>
      </c>
      <c r="AD377" s="1817"/>
      <c r="AE377" s="1817"/>
      <c r="AF377" s="1" t="s">
        <v>306</v>
      </c>
      <c r="AG377" s="1817"/>
      <c r="AH377" s="1817"/>
    </row>
    <row r="378" spans="1:34" ht="12.95" customHeight="1">
      <c r="E378" s="4" t="s">
        <v>988</v>
      </c>
      <c r="F378" s="4"/>
      <c r="G378" s="4"/>
      <c r="H378" s="4"/>
      <c r="I378" s="4"/>
      <c r="J378" s="4"/>
      <c r="K378" s="4"/>
      <c r="L378" s="4"/>
      <c r="N378" s="1817"/>
      <c r="O378" s="1817"/>
      <c r="P378" s="1817"/>
    </row>
    <row r="379" spans="1:34" ht="12.95" customHeight="1">
      <c r="E379" s="204" t="s">
        <v>2087</v>
      </c>
      <c r="F379" s="4"/>
      <c r="G379" s="4"/>
      <c r="H379" s="4"/>
      <c r="I379" s="4"/>
      <c r="J379" s="4"/>
      <c r="K379" s="4"/>
      <c r="L379" s="4"/>
      <c r="AG379" s="1806" t="s">
        <v>592</v>
      </c>
      <c r="AH379" s="1806"/>
    </row>
    <row r="380" spans="1:34" ht="12.95" customHeight="1">
      <c r="E380" s="4"/>
      <c r="F380" s="4"/>
      <c r="G380" s="4" t="s">
        <v>2088</v>
      </c>
      <c r="H380" s="4"/>
      <c r="I380" s="4"/>
      <c r="J380" s="4"/>
      <c r="K380" s="4"/>
      <c r="L380" s="4"/>
      <c r="AG380" s="1806" t="s">
        <v>592</v>
      </c>
      <c r="AH380" s="1806"/>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t="s">
        <v>2616</v>
      </c>
      <c r="K385" s="1371"/>
      <c r="L385" s="1371"/>
      <c r="M385" s="1371"/>
      <c r="N385" s="1371"/>
      <c r="O385" s="1371"/>
      <c r="P385" s="1371"/>
      <c r="Q385" s="1371"/>
      <c r="R385" s="1371"/>
      <c r="S385" s="1371"/>
      <c r="T385" s="1371"/>
      <c r="U385" s="1371"/>
      <c r="V385" s="8" t="s">
        <v>83</v>
      </c>
      <c r="W385" s="8"/>
      <c r="X385" s="8"/>
      <c r="Y385" s="8"/>
      <c r="Z385" s="8"/>
      <c r="AA385" s="8"/>
      <c r="AB385" s="8"/>
      <c r="AC385" s="1416" t="s">
        <v>2701</v>
      </c>
      <c r="AD385" s="1371"/>
      <c r="AE385" s="1371"/>
      <c r="AF385" s="1371"/>
      <c r="AG385" s="1371"/>
      <c r="AH385" s="1371"/>
      <c r="AI385" s="1371"/>
      <c r="AJ385" s="1371"/>
    </row>
    <row r="386" spans="4:36" ht="12.95" customHeight="1">
      <c r="D386" s="3" t="s">
        <v>1183</v>
      </c>
      <c r="J386" s="1547" t="s">
        <v>2701</v>
      </c>
      <c r="K386" s="1348"/>
      <c r="L386" s="1348"/>
      <c r="M386" s="1348"/>
      <c r="N386" s="1348"/>
      <c r="O386" s="1348"/>
      <c r="P386" s="1348"/>
      <c r="Q386" s="1348"/>
      <c r="R386" s="1348"/>
      <c r="S386" s="1348"/>
      <c r="T386" s="1348"/>
      <c r="U386" s="1348"/>
      <c r="V386" s="3" t="s">
        <v>1183</v>
      </c>
      <c r="W386" s="8"/>
      <c r="X386" s="8"/>
      <c r="Y386" s="8"/>
      <c r="Z386" s="8"/>
      <c r="AA386" s="8"/>
      <c r="AB386" s="8"/>
      <c r="AC386" s="1371"/>
      <c r="AD386" s="1371"/>
      <c r="AE386" s="1371"/>
      <c r="AF386" s="1371"/>
      <c r="AG386" s="1371"/>
      <c r="AH386" s="1371"/>
      <c r="AI386" s="1371"/>
      <c r="AJ386" s="1371"/>
    </row>
    <row r="387" spans="4:36" ht="12.95" customHeight="1">
      <c r="D387" s="3" t="s">
        <v>442</v>
      </c>
      <c r="J387" s="1547" t="s">
        <v>441</v>
      </c>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1179</v>
      </c>
      <c r="J388" s="1827" t="s">
        <v>2702</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3"/>
      <c r="R389" s="1753"/>
      <c r="S389" s="1753"/>
      <c r="T389" s="1753"/>
      <c r="U389" s="1753"/>
      <c r="V389" t="s">
        <v>309</v>
      </c>
      <c r="AI389" s="1332" t="s">
        <v>670</v>
      </c>
      <c r="AJ389" s="1332"/>
    </row>
    <row r="390" spans="4:36" ht="12.95" customHeight="1">
      <c r="D390" t="s">
        <v>5</v>
      </c>
      <c r="Q390" s="1535"/>
      <c r="R390" s="1822"/>
      <c r="S390" s="1822"/>
      <c r="T390" s="1822"/>
      <c r="U390" s="1822"/>
      <c r="W390" s="21" t="s">
        <v>74</v>
      </c>
      <c r="AG390" s="1819"/>
      <c r="AH390" s="1819"/>
      <c r="AI390" s="1819"/>
      <c r="AJ390" s="1819"/>
    </row>
    <row r="391" spans="4:36" ht="12.95" customHeight="1">
      <c r="D391" t="s">
        <v>427</v>
      </c>
      <c r="Q391" s="1832">
        <v>3360000</v>
      </c>
      <c r="R391" s="1832"/>
      <c r="S391" s="1832"/>
      <c r="T391" s="1832"/>
      <c r="U391" s="1832"/>
      <c r="V391" s="3" t="s">
        <v>1182</v>
      </c>
      <c r="AG391" s="1820" t="s">
        <v>592</v>
      </c>
      <c r="AH391" s="1821"/>
      <c r="AI391" s="1821"/>
      <c r="AJ391" s="1821"/>
    </row>
    <row r="392" spans="4:36" ht="12.95" customHeight="1">
      <c r="D392" t="s">
        <v>88</v>
      </c>
      <c r="I392" s="1423" t="s">
        <v>2618</v>
      </c>
      <c r="J392" s="1424"/>
      <c r="K392" s="1424"/>
      <c r="L392" s="1424"/>
      <c r="M392" s="1424"/>
      <c r="N392" s="1424"/>
      <c r="Q392" s="4" t="s">
        <v>206</v>
      </c>
      <c r="S392" s="1831"/>
      <c r="T392" s="1831"/>
      <c r="U392" s="1831"/>
      <c r="V392" t="s">
        <v>73</v>
      </c>
      <c r="AI392" s="1332" t="s">
        <v>670</v>
      </c>
      <c r="AJ392" s="1332"/>
    </row>
    <row r="393" spans="4:36" ht="12.95" customHeight="1">
      <c r="D393" t="s">
        <v>310</v>
      </c>
      <c r="Q393" s="1408"/>
      <c r="R393" s="1408"/>
      <c r="S393" s="1408"/>
      <c r="T393" s="1408"/>
      <c r="U393" s="1408"/>
      <c r="V393" t="s">
        <v>311</v>
      </c>
      <c r="AG393" s="1819"/>
      <c r="AH393" s="1819"/>
      <c r="AI393" s="1819"/>
      <c r="AJ393" s="1819"/>
    </row>
    <row r="394" spans="4:36" ht="12.95" customHeight="1">
      <c r="D394" t="s">
        <v>312</v>
      </c>
      <c r="Q394" s="1757"/>
      <c r="R394" s="1757"/>
      <c r="S394" s="1757"/>
      <c r="T394" s="1757"/>
      <c r="U394" s="1757"/>
      <c r="V394" t="s">
        <v>1164</v>
      </c>
      <c r="AG394" s="1819"/>
      <c r="AH394" s="1819"/>
      <c r="AI394" s="1819"/>
      <c r="AJ394" s="1819"/>
    </row>
    <row r="395" spans="4:36" ht="12.95" customHeight="1">
      <c r="D395" t="s">
        <v>1163</v>
      </c>
      <c r="AG395" s="1819"/>
      <c r="AH395" s="1819"/>
      <c r="AI395" s="1819"/>
      <c r="AJ395" s="1819"/>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1667</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1661</v>
      </c>
      <c r="S401" s="1752" t="s">
        <v>670</v>
      </c>
      <c r="T401" s="1752"/>
      <c r="U401" s="1752"/>
      <c r="V401" t="s">
        <v>1662</v>
      </c>
      <c r="AG401" s="1824"/>
      <c r="AH401" s="1824"/>
      <c r="AI401" s="1824"/>
      <c r="AJ401" s="1824"/>
    </row>
    <row r="402" spans="1:36" ht="12.95" customHeight="1">
      <c r="D402" s="3" t="s">
        <v>1659</v>
      </c>
      <c r="S402" s="1752" t="s">
        <v>592</v>
      </c>
      <c r="T402" s="1752"/>
      <c r="U402" s="1752"/>
      <c r="V402" t="s">
        <v>1664</v>
      </c>
      <c r="AE402" s="1818"/>
      <c r="AF402" s="1818"/>
      <c r="AG402" s="1818"/>
      <c r="AH402" s="1818"/>
      <c r="AI402" s="1818"/>
      <c r="AJ402" s="1818"/>
    </row>
    <row r="403" spans="1:36" ht="12.95" customHeight="1">
      <c r="D403" s="3" t="s">
        <v>1660</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1663</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1666</v>
      </c>
      <c r="E405" s="477"/>
      <c r="F405" s="477"/>
      <c r="G405" s="477"/>
      <c r="H405" s="477"/>
      <c r="I405" s="477"/>
      <c r="J405" s="477"/>
      <c r="K405" s="477"/>
      <c r="L405" s="477"/>
      <c r="M405" s="477"/>
      <c r="N405" s="477"/>
      <c r="O405" s="477"/>
      <c r="P405" s="477"/>
      <c r="Q405" s="477"/>
      <c r="R405" s="477"/>
      <c r="S405" s="1830" t="s">
        <v>1185</v>
      </c>
      <c r="T405" s="1830"/>
      <c r="U405" s="1830"/>
      <c r="V405" s="1830"/>
      <c r="W405" s="1830"/>
      <c r="X405" s="1830"/>
      <c r="Y405" s="1830"/>
      <c r="Z405" s="1830"/>
      <c r="AA405" s="1830"/>
      <c r="AB405" s="1830"/>
      <c r="AC405" s="1830"/>
      <c r="AD405" s="1830"/>
      <c r="AE405" s="1830"/>
      <c r="AF405" s="1830"/>
      <c r="AG405" s="1830"/>
      <c r="AH405" s="1830"/>
      <c r="AI405" s="1830"/>
      <c r="AJ405" s="1830"/>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2687</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592</v>
      </c>
      <c r="S411" s="1332"/>
      <c r="AC411" s="27" t="s">
        <v>571</v>
      </c>
      <c r="AD411" s="1664"/>
      <c r="AE411" s="1664"/>
    </row>
    <row r="412" spans="1:36" ht="12.95" customHeight="1">
      <c r="E412" t="s">
        <v>107</v>
      </c>
      <c r="R412" s="1332" t="s">
        <v>546</v>
      </c>
      <c r="S412" s="1332"/>
      <c r="AC412" s="27" t="s">
        <v>571</v>
      </c>
      <c r="AD412" s="1664">
        <v>3</v>
      </c>
      <c r="AE412" s="1664"/>
    </row>
    <row r="413" spans="1:36" ht="12.95" customHeight="1">
      <c r="E413" t="s">
        <v>108</v>
      </c>
      <c r="S413" s="1332" t="s">
        <v>592</v>
      </c>
      <c r="T413" s="1332"/>
    </row>
    <row r="414" spans="1:36" ht="12.95" customHeight="1">
      <c r="E414" t="s">
        <v>170</v>
      </c>
      <c r="H414" s="1758" t="s">
        <v>2688</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591</v>
      </c>
      <c r="B417" s="2"/>
      <c r="C417" s="2"/>
      <c r="D417" s="2" t="s">
        <v>114</v>
      </c>
      <c r="AF417" s="2" t="s">
        <v>958</v>
      </c>
    </row>
    <row r="418" spans="1:39" ht="12.95" customHeight="1">
      <c r="E418" s="1817"/>
      <c r="F418" s="1817"/>
      <c r="G418" s="1817"/>
      <c r="H418" s="13" t="s">
        <v>115</v>
      </c>
      <c r="I418" s="1817"/>
      <c r="J418" s="1817"/>
      <c r="K418" s="1817"/>
      <c r="L418" t="s">
        <v>116</v>
      </c>
      <c r="N418" s="27" t="s">
        <v>576</v>
      </c>
      <c r="P418" s="1761">
        <v>2.64</v>
      </c>
      <c r="Q418" s="1761"/>
      <c r="R418" s="1761"/>
      <c r="S418" t="s">
        <v>117</v>
      </c>
      <c r="W418" s="1829">
        <f>IF(E418&gt;0,(E418*I418),(P418*43560))</f>
        <v>114998.40000000001</v>
      </c>
      <c r="X418" s="1829"/>
      <c r="Y418" s="1829"/>
      <c r="Z418" t="s">
        <v>118</v>
      </c>
      <c r="AF418" s="1762">
        <f>IFERROR(IF(P418&gt;0,(AG437/P418),(AG437/(W418/43560))),0)</f>
        <v>36.36363636363636</v>
      </c>
      <c r="AG418" s="1762"/>
      <c r="AH418" s="1762"/>
      <c r="AM418" s="3"/>
    </row>
    <row r="419" spans="1:39" ht="12.95" customHeight="1">
      <c r="E419" t="s">
        <v>51</v>
      </c>
    </row>
    <row r="420" spans="1:39" ht="12.95"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2.95" customHeight="1">
      <c r="E421" s="118" t="s">
        <v>1737</v>
      </c>
      <c r="F421" s="1013"/>
      <c r="G421" s="1013"/>
      <c r="H421" s="1013"/>
      <c r="I421" s="1760">
        <v>2.64</v>
      </c>
      <c r="J421" s="1760"/>
      <c r="K421" s="1760"/>
      <c r="L421" s="1013"/>
      <c r="M421" s="118"/>
      <c r="N421" s="1013"/>
      <c r="O421" s="1013"/>
      <c r="P421" s="1442">
        <f>(DU755+DU778+DU800)/I421</f>
        <v>71.212121212121204</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5</v>
      </c>
      <c r="Q424" s="1332"/>
      <c r="S424" t="s">
        <v>189</v>
      </c>
      <c r="AE424" s="1332">
        <v>4</v>
      </c>
      <c r="AF424" s="1332"/>
    </row>
    <row r="425" spans="1:39" ht="12.95" customHeight="1">
      <c r="E425" t="s">
        <v>190</v>
      </c>
      <c r="P425" s="1332">
        <v>1</v>
      </c>
      <c r="Q425" s="1332"/>
      <c r="S425" t="s">
        <v>131</v>
      </c>
      <c r="AE425" s="1332" t="s">
        <v>592</v>
      </c>
      <c r="AF425" s="1332"/>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609</v>
      </c>
      <c r="P429" s="1"/>
      <c r="Q429" s="1332" t="s">
        <v>546</v>
      </c>
      <c r="R429" s="1332"/>
    </row>
    <row r="430" spans="1:39" ht="12.95" customHeight="1">
      <c r="F430" t="s">
        <v>610</v>
      </c>
      <c r="P430" s="1"/>
      <c r="Q430" s="1"/>
      <c r="AF430" s="1332" t="s">
        <v>592</v>
      </c>
      <c r="AG430" s="1826"/>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3"/>
      <c r="AG437" s="1823">
        <v>96</v>
      </c>
      <c r="AH437" s="1823"/>
      <c r="AI437" s="1823"/>
      <c r="AJ437" s="1823"/>
    </row>
    <row r="438" spans="1:55" ht="12.95" customHeight="1">
      <c r="D438" s="1744" t="s">
        <v>1223</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8">
        <v>0</v>
      </c>
      <c r="AH438" s="1614"/>
      <c r="AI438" s="1614"/>
      <c r="AJ438" s="1614"/>
    </row>
    <row r="439" spans="1:55" ht="12.95" customHeight="1">
      <c r="D439" s="1744" t="s">
        <v>1032</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3">
        <v>95</v>
      </c>
      <c r="AH439" s="1823"/>
      <c r="AI439" s="1823"/>
      <c r="AJ439" s="1823"/>
    </row>
    <row r="440" spans="1:55" ht="12.95" customHeight="1">
      <c r="D440" s="1744" t="s">
        <v>1033</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3">
        <v>95</v>
      </c>
      <c r="AH440" s="1823"/>
      <c r="AI440" s="1823"/>
      <c r="AJ440" s="1823"/>
    </row>
    <row r="441" spans="1:55" ht="12.95" customHeight="1">
      <c r="D441" s="1744" t="s">
        <v>1035</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8">
        <f>IF(ISERROR(AG440/AG439),0,AG440/AG439)</f>
        <v>1</v>
      </c>
      <c r="AH441" s="1808"/>
      <c r="AI441" s="1808"/>
      <c r="AJ441" s="1808"/>
    </row>
    <row r="442" spans="1:55" ht="12.95" customHeight="1">
      <c r="D442" s="1744" t="s">
        <v>1034</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f>(28*592)+(43*760)+(24*939)</f>
        <v>71792</v>
      </c>
      <c r="AH442" s="1696"/>
      <c r="AI442" s="1696"/>
      <c r="AJ442" s="1696"/>
    </row>
    <row r="443" spans="1:55" ht="12.95" customHeight="1">
      <c r="D443" s="1744" t="s">
        <v>1036</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f>AG442</f>
        <v>71792</v>
      </c>
      <c r="AH443" s="1696"/>
      <c r="AI443" s="1696"/>
      <c r="AJ443" s="1696"/>
    </row>
    <row r="444" spans="1:55" ht="12.95" customHeight="1">
      <c r="D444" s="1744" t="s">
        <v>1037</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8">
        <f>IF(ISERROR(AG443/AG442),0,AG443/AG442)</f>
        <v>1</v>
      </c>
      <c r="AH444" s="1808"/>
      <c r="AI444" s="1808"/>
      <c r="AJ444" s="1808"/>
    </row>
    <row r="445" spans="1:55" ht="12.95" customHeight="1">
      <c r="D445" s="1744" t="s">
        <v>1038</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8">
        <f>MIN(IF(AG441&gt;AG444,AG444,AG441),1)</f>
        <v>1</v>
      </c>
      <c r="AH445" s="1808"/>
      <c r="AI445" s="1808"/>
      <c r="AJ445" s="1808"/>
    </row>
    <row r="446" spans="1:55" ht="12.95" customHeight="1">
      <c r="D446" s="1744"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3"/>
      <c r="AG446" s="1696">
        <v>1874</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3"/>
      <c r="AG447" s="1696">
        <v>0</v>
      </c>
      <c r="AH447" s="1696"/>
      <c r="AI447" s="1696"/>
      <c r="AJ447" s="1696"/>
      <c r="AZ447" s="3"/>
      <c r="BA447" s="3"/>
      <c r="BB447" s="3"/>
      <c r="BC447" s="3"/>
    </row>
    <row r="448" spans="1:55" ht="12.95" customHeight="1">
      <c r="D448" s="1744"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3"/>
      <c r="AG448" s="1696">
        <f>AG446+760</f>
        <v>2634</v>
      </c>
      <c r="AH448" s="1696"/>
      <c r="AI448" s="1696"/>
      <c r="AJ448" s="1696"/>
      <c r="AZ448" s="3"/>
      <c r="BA448" s="3"/>
      <c r="BB448" s="3"/>
      <c r="BC448" s="3"/>
    </row>
    <row r="449" spans="1:55" ht="12.95" customHeight="1">
      <c r="D449" s="1744"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3"/>
      <c r="AG449" s="1696">
        <v>0</v>
      </c>
      <c r="AH449" s="1696"/>
      <c r="AI449" s="1696"/>
      <c r="AJ449" s="1696"/>
      <c r="BB449" s="3"/>
      <c r="BC449" s="3"/>
    </row>
    <row r="450" spans="1:55" ht="12.95" customHeight="1">
      <c r="D450" s="1768" t="s">
        <v>1040</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8">
        <f>AG442+AG446+AG448+AG449</f>
        <v>76300</v>
      </c>
      <c r="AH450" s="1848"/>
      <c r="AI450" s="1848"/>
      <c r="AJ450" s="1848"/>
      <c r="AZ450" s="3"/>
      <c r="BA450" s="3"/>
      <c r="BB450" s="3"/>
      <c r="BC450" s="3"/>
    </row>
    <row r="451" spans="1:55" ht="12.95" customHeight="1">
      <c r="D451" s="1747" t="s">
        <v>1207</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4">
        <f>IF(AG437=0,"",'Sources and Uses Budget'!B105/Application!AG437)</f>
        <v>467514.63541666669</v>
      </c>
      <c r="AD454" s="1814"/>
      <c r="AE454" s="1814"/>
      <c r="AF454" s="1814"/>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4">
        <f>IF(AG437=0,"",'Sources and Uses Budget'!C105/Application!AG437)</f>
        <v>467514.63541666669</v>
      </c>
      <c r="AD455" s="1814"/>
      <c r="AE455" s="1814"/>
      <c r="AF455" s="1814"/>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4">
        <f>IF(AG437=0,"",('Sources and Uses Budget'!$S$107+'Sources and Uses Budget'!$T$107)/Application!AG437)</f>
        <v>407885.88541666669</v>
      </c>
      <c r="AD456" s="1814"/>
      <c r="AE456" s="1814"/>
      <c r="AF456" s="1814"/>
      <c r="AG456" s="177"/>
      <c r="AH456" s="177"/>
      <c r="AI456" s="177"/>
      <c r="AJ456" s="183"/>
      <c r="AZ456" s="3"/>
      <c r="BA456" s="3"/>
      <c r="BB456" s="3"/>
      <c r="BC456" s="3"/>
    </row>
    <row r="457" spans="1:55" ht="12.95" customHeight="1">
      <c r="D457" s="177"/>
      <c r="E457" s="177"/>
      <c r="F457" s="1734" t="str">
        <f>IFERROR(IF(AC454&gt;650000,"Please provide a justification of cost per unit in Tab 12 for all projects with per unit costs of greater than $650,000.",""),"")</f>
        <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2101</v>
      </c>
      <c r="E465" s="1755"/>
      <c r="F465" s="1755"/>
      <c r="G465" s="1755"/>
      <c r="H465" s="1755"/>
      <c r="I465" s="1755"/>
      <c r="J465" s="1755"/>
      <c r="K465" s="1755"/>
      <c r="L465" s="1755"/>
      <c r="M465" s="1755"/>
      <c r="N465" s="1755"/>
      <c r="O465" s="1755"/>
      <c r="P465" s="1755"/>
      <c r="Q465" s="1755"/>
      <c r="R465" s="1755"/>
      <c r="S465" s="1755"/>
      <c r="T465" s="1755"/>
      <c r="U465" s="1755"/>
      <c r="V465" s="1756"/>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694</v>
      </c>
      <c r="E466" s="1755"/>
      <c r="F466" s="1755"/>
      <c r="G466" s="1755"/>
      <c r="H466" s="1755"/>
      <c r="I466" s="1755"/>
      <c r="J466" s="1755"/>
      <c r="K466" s="1755"/>
      <c r="L466" s="1755"/>
      <c r="M466" s="1755"/>
      <c r="N466" s="1755"/>
      <c r="O466" s="1755"/>
      <c r="P466" s="1755"/>
      <c r="Q466" s="1755"/>
      <c r="R466" s="1755"/>
      <c r="S466" s="1755"/>
      <c r="T466" s="1755"/>
      <c r="U466" s="1755"/>
      <c r="V466" s="1756"/>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695</v>
      </c>
      <c r="E467" s="1755"/>
      <c r="F467" s="1755"/>
      <c r="G467" s="1755"/>
      <c r="H467" s="1755"/>
      <c r="I467" s="1755"/>
      <c r="J467" s="1755"/>
      <c r="K467" s="1755"/>
      <c r="L467" s="1755"/>
      <c r="M467" s="1755"/>
      <c r="N467" s="1755"/>
      <c r="O467" s="1755"/>
      <c r="P467" s="1755"/>
      <c r="Q467" s="1755"/>
      <c r="R467" s="1755"/>
      <c r="S467" s="1755"/>
      <c r="T467" s="1755"/>
      <c r="U467" s="1755"/>
      <c r="V467" s="1756"/>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696</v>
      </c>
      <c r="E468" s="1755"/>
      <c r="F468" s="1755"/>
      <c r="G468" s="1755"/>
      <c r="H468" s="1755"/>
      <c r="I468" s="1755"/>
      <c r="J468" s="1755"/>
      <c r="K468" s="1755"/>
      <c r="L468" s="1755"/>
      <c r="M468" s="1755"/>
      <c r="N468" s="1755"/>
      <c r="O468" s="1755"/>
      <c r="P468" s="1755"/>
      <c r="Q468" s="1755"/>
      <c r="R468" s="1755"/>
      <c r="S468" s="1755"/>
      <c r="T468" s="1755"/>
      <c r="U468" s="1755"/>
      <c r="V468" s="1756"/>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882</v>
      </c>
      <c r="E469" s="1755"/>
      <c r="F469" s="1755"/>
      <c r="G469" s="1755"/>
      <c r="H469" s="1755"/>
      <c r="I469" s="1755"/>
      <c r="J469" s="1755"/>
      <c r="K469" s="1755"/>
      <c r="L469" s="1755"/>
      <c r="M469" s="1755"/>
      <c r="N469" s="1755"/>
      <c r="O469" s="1755"/>
      <c r="P469" s="1755"/>
      <c r="Q469" s="1755"/>
      <c r="R469" s="1755"/>
      <c r="S469" s="1755"/>
      <c r="T469" s="1755"/>
      <c r="U469" s="1755"/>
      <c r="V469" s="1756"/>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4" t="s">
        <v>697</v>
      </c>
      <c r="E470" s="1755"/>
      <c r="F470" s="1755"/>
      <c r="G470" s="1755"/>
      <c r="H470" s="1755"/>
      <c r="I470" s="1755"/>
      <c r="J470" s="1755"/>
      <c r="K470" s="1755"/>
      <c r="L470" s="1755"/>
      <c r="M470" s="1755"/>
      <c r="N470" s="1755"/>
      <c r="O470" s="1755"/>
      <c r="P470" s="1755"/>
      <c r="Q470" s="1755"/>
      <c r="R470" s="1755"/>
      <c r="S470" s="1755"/>
      <c r="T470" s="1755"/>
      <c r="U470" s="1755"/>
      <c r="V470" s="1756"/>
      <c r="W470" s="1666">
        <v>48</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4" t="s">
        <v>1013</v>
      </c>
      <c r="E471" s="1755"/>
      <c r="F471" s="1755"/>
      <c r="G471" s="1755"/>
      <c r="H471" s="1755"/>
      <c r="I471" s="1755"/>
      <c r="J471" s="1755"/>
      <c r="K471" s="1755"/>
      <c r="L471" s="1755"/>
      <c r="M471" s="1755"/>
      <c r="N471" s="1755"/>
      <c r="O471" s="1755"/>
      <c r="P471" s="1755"/>
      <c r="Q471" s="1755"/>
      <c r="R471" s="1755"/>
      <c r="S471" s="1755"/>
      <c r="T471" s="1755"/>
      <c r="U471" s="1755"/>
      <c r="V471" s="1756"/>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2192</v>
      </c>
      <c r="E472" s="1852"/>
      <c r="F472" s="1852"/>
      <c r="G472" s="1852"/>
      <c r="H472" s="1852"/>
      <c r="I472" s="1852"/>
      <c r="J472" s="1852"/>
      <c r="K472" s="1852"/>
      <c r="L472" s="1852"/>
      <c r="M472" s="1852"/>
      <c r="N472" s="1852"/>
      <c r="O472" s="1852"/>
      <c r="P472" s="1852"/>
      <c r="Q472" s="1852"/>
      <c r="R472" s="1852"/>
      <c r="S472" s="1852"/>
      <c r="T472" s="1852"/>
      <c r="U472" s="1852"/>
      <c r="V472" s="1853"/>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1655</v>
      </c>
      <c r="E473" s="1755"/>
      <c r="F473" s="1755"/>
      <c r="G473" s="1755"/>
      <c r="H473" s="1755"/>
      <c r="I473" s="1755"/>
      <c r="J473" s="1755"/>
      <c r="K473" s="1755"/>
      <c r="L473" s="1755"/>
      <c r="M473" s="1755"/>
      <c r="N473" s="1755"/>
      <c r="O473" s="1755"/>
      <c r="P473" s="1755"/>
      <c r="Q473" s="1755"/>
      <c r="R473" s="1755"/>
      <c r="S473" s="1755"/>
      <c r="T473" s="1755"/>
      <c r="U473" s="1755"/>
      <c r="V473" s="1756"/>
      <c r="W473" s="1666">
        <v>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393</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394</v>
      </c>
      <c r="C486" s="5"/>
      <c r="D486" s="5"/>
      <c r="E486" s="5"/>
      <c r="F486" s="5"/>
      <c r="G486" s="5"/>
      <c r="H486" s="5"/>
      <c r="I486" s="5"/>
      <c r="J486" s="5"/>
      <c r="K486" s="5"/>
      <c r="L486" s="5"/>
      <c r="M486" s="5"/>
      <c r="N486" s="5"/>
      <c r="O486" s="5"/>
      <c r="P486" s="5"/>
      <c r="Q486" s="1578" t="s">
        <v>2689</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78" t="s">
        <v>2690</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78" t="s">
        <v>2690</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9"/>
      <c r="AZ488" s="3"/>
      <c r="BA488" s="3"/>
      <c r="BB488" s="3"/>
      <c r="BC488" s="3"/>
    </row>
    <row r="489" spans="1:55" ht="12.95" customHeight="1">
      <c r="B489" s="1836" t="s">
        <v>397</v>
      </c>
      <c r="C489" s="1837"/>
      <c r="D489" s="1837"/>
      <c r="E489" s="1837"/>
      <c r="F489" s="1837"/>
      <c r="G489" s="1837"/>
      <c r="H489" s="1837"/>
      <c r="I489" s="1837"/>
      <c r="J489" s="1837"/>
      <c r="K489" s="1837"/>
      <c r="L489" s="1837"/>
      <c r="M489" s="1837"/>
      <c r="N489" s="1837"/>
      <c r="O489" s="1837"/>
      <c r="P489" s="1838"/>
      <c r="Q489" s="1842" t="s">
        <v>670</v>
      </c>
      <c r="R489" s="1843"/>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9"/>
      <c r="C490" s="1840"/>
      <c r="D490" s="1840"/>
      <c r="E490" s="1840"/>
      <c r="F490" s="1840"/>
      <c r="G490" s="1840"/>
      <c r="H490" s="1840"/>
      <c r="I490" s="1840"/>
      <c r="J490" s="1840"/>
      <c r="K490" s="1840"/>
      <c r="L490" s="1840"/>
      <c r="M490" s="1840"/>
      <c r="N490" s="1840"/>
      <c r="O490" s="1840"/>
      <c r="P490" s="1841"/>
      <c r="Q490" s="1844"/>
      <c r="R490" s="1845"/>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9" t="s">
        <v>670</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8" t="s">
        <v>2691</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8" t="s">
        <v>2692</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8">
        <v>104</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9"/>
      <c r="AZ494" s="3"/>
      <c r="BA494" s="3"/>
      <c r="BB494" s="3"/>
      <c r="BC494" s="3"/>
    </row>
    <row r="495" spans="1:55" ht="12.95" customHeight="1">
      <c r="B495" s="121" t="s">
        <v>1670</v>
      </c>
      <c r="C495" s="5"/>
      <c r="D495" s="5"/>
      <c r="E495" s="5"/>
      <c r="F495" s="5"/>
      <c r="G495" s="5"/>
      <c r="H495" s="5"/>
      <c r="I495" s="5"/>
      <c r="J495" s="5"/>
      <c r="K495" s="5"/>
      <c r="L495" s="5"/>
      <c r="M495" s="1447">
        <f>104-AH495</f>
        <v>71</v>
      </c>
      <c r="N495" s="1448"/>
      <c r="O495" s="1448"/>
      <c r="P495" s="1449"/>
      <c r="Q495" s="121" t="s">
        <v>1671</v>
      </c>
      <c r="R495" s="5"/>
      <c r="S495" s="5"/>
      <c r="T495" s="5"/>
      <c r="U495" s="5"/>
      <c r="V495" s="5"/>
      <c r="W495" s="5"/>
      <c r="X495" s="5"/>
      <c r="Y495" s="5"/>
      <c r="Z495" s="5"/>
      <c r="AA495" s="5"/>
      <c r="AB495" s="5"/>
      <c r="AC495" s="5"/>
      <c r="AD495" s="5"/>
      <c r="AE495" s="5"/>
      <c r="AF495" s="5"/>
      <c r="AG495" s="5"/>
      <c r="AH495" s="1447">
        <v>33</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401</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402</v>
      </c>
      <c r="AD500" s="1766"/>
      <c r="AE500" s="1766"/>
      <c r="AF500" s="1766"/>
      <c r="AG500" s="50" t="s">
        <v>403</v>
      </c>
      <c r="AH500" s="1766" t="s">
        <v>404</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t="s">
        <v>592</v>
      </c>
      <c r="AD501" s="1664"/>
      <c r="AE501" s="1664"/>
      <c r="AF501" s="1664"/>
      <c r="AG501" s="13" t="s">
        <v>403</v>
      </c>
      <c r="AH501" s="1402"/>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2</v>
      </c>
      <c r="AD502" s="1664"/>
      <c r="AE502" s="1664"/>
      <c r="AF502" s="1664"/>
      <c r="AG502" s="38" t="s">
        <v>403</v>
      </c>
      <c r="AH502" s="1402">
        <v>2026</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v>6</v>
      </c>
      <c r="AD505" s="1664"/>
      <c r="AE505" s="1664"/>
      <c r="AF505" s="1664"/>
      <c r="AG505" s="13" t="s">
        <v>403</v>
      </c>
      <c r="AH505" s="1402">
        <v>2025</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t="s">
        <v>592</v>
      </c>
      <c r="AD506" s="1664"/>
      <c r="AE506" s="1664"/>
      <c r="AF506" s="1664"/>
      <c r="AG506" s="13" t="s">
        <v>403</v>
      </c>
      <c r="AH506" s="1402"/>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7">
        <v>2</v>
      </c>
      <c r="AD507" s="1338"/>
      <c r="AE507" s="1338"/>
      <c r="AF507" s="1338"/>
      <c r="AG507" s="13" t="s">
        <v>403</v>
      </c>
      <c r="AH507" s="1402">
        <v>2026</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7"/>
      <c r="AC508" s="1663" t="s">
        <v>592</v>
      </c>
      <c r="AD508" s="1664"/>
      <c r="AE508" s="1664"/>
      <c r="AF508" s="1664"/>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3" t="s">
        <v>670</v>
      </c>
      <c r="AD509" s="1823"/>
      <c r="AE509" s="1823"/>
      <c r="AF509" s="1823"/>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3"/>
      <c r="AD512" s="1834"/>
      <c r="AE512" s="1834"/>
      <c r="AF512" s="1835"/>
      <c r="AG512" s="38"/>
      <c r="AH512" s="1749"/>
      <c r="AI512" s="1749"/>
      <c r="AJ512" s="1749"/>
      <c r="AK512" s="1750"/>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6"/>
      <c r="AZ513" s="3"/>
      <c r="BA513" s="3"/>
      <c r="BB513" s="3"/>
      <c r="BC513" s="3"/>
      <c r="BD513" s="3"/>
      <c r="BE513" s="3"/>
      <c r="BF513" s="3"/>
      <c r="BG513" s="3"/>
      <c r="BH513" s="3"/>
      <c r="BI513" s="3"/>
      <c r="BJ513" s="3"/>
      <c r="BK513" s="3"/>
      <c r="BL513" s="3"/>
      <c r="BM513" s="3"/>
      <c r="BN513" s="3" t="s">
        <v>2106</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4"/>
      <c r="C515" s="1434"/>
      <c r="D515" s="1434"/>
      <c r="E515" s="1434"/>
      <c r="F515" s="1434"/>
      <c r="G515" s="1434"/>
      <c r="H515" s="1435"/>
      <c r="I515" t="s">
        <v>416</v>
      </c>
      <c r="AC515" s="1663">
        <v>5</v>
      </c>
      <c r="AD515" s="1664"/>
      <c r="AE515" s="1664"/>
      <c r="AF515" s="1664"/>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4"/>
      <c r="C518" s="1434"/>
      <c r="D518" s="1434"/>
      <c r="E518" s="1434"/>
      <c r="F518" s="1434"/>
      <c r="G518" s="1434"/>
      <c r="H518" s="1435"/>
      <c r="I518" t="s">
        <v>416</v>
      </c>
      <c r="AC518" s="1663">
        <v>5</v>
      </c>
      <c r="AD518" s="1664"/>
      <c r="AE518" s="1664"/>
      <c r="AF518" s="1664"/>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2</v>
      </c>
      <c r="AD519" s="1664"/>
      <c r="AE519" s="1664"/>
      <c r="AF519" s="1664"/>
      <c r="AG519" s="38" t="s">
        <v>403</v>
      </c>
      <c r="AH519" s="1402">
        <v>2028</v>
      </c>
      <c r="AI519" s="1402"/>
      <c r="AJ519" s="1402"/>
      <c r="AK519" s="1403"/>
      <c r="BB519" s="3"/>
      <c r="BC519" s="3"/>
      <c r="BD519" s="3"/>
      <c r="BE519" s="3"/>
      <c r="BF519" s="3"/>
      <c r="BG519" s="3"/>
      <c r="BH519" s="3"/>
      <c r="BI519" s="3"/>
      <c r="BJ519" s="3"/>
      <c r="BK519" s="3"/>
      <c r="BL519" s="3"/>
      <c r="BM519" s="3"/>
      <c r="BN519" s="3" t="s">
        <v>2112</v>
      </c>
    </row>
    <row r="520" spans="2:66" ht="12.95" customHeight="1">
      <c r="B520" s="1673" t="s">
        <v>419</v>
      </c>
      <c r="C520" s="1432"/>
      <c r="D520" s="1432"/>
      <c r="E520" s="1432"/>
      <c r="F520" s="1432"/>
      <c r="G520" s="1432"/>
      <c r="H520" s="1433"/>
      <c r="I520" s="41" t="s">
        <v>420</v>
      </c>
      <c r="J520" s="42"/>
      <c r="K520" s="42"/>
      <c r="L520" s="42"/>
      <c r="M520" s="42"/>
      <c r="N520" s="42"/>
      <c r="O520" s="1751" t="s">
        <v>2703</v>
      </c>
      <c r="P520" s="1752"/>
      <c r="Q520" s="1752"/>
      <c r="R520" s="1752"/>
      <c r="S520" s="1752"/>
      <c r="T520" s="1752"/>
      <c r="U520" s="1752"/>
      <c r="V520" s="1752"/>
      <c r="W520" s="1752"/>
      <c r="X520" s="1752"/>
      <c r="Y520" s="1752"/>
      <c r="Z520" s="1752"/>
      <c r="AA520" s="1752"/>
      <c r="AB520" s="58"/>
      <c r="AC520" s="1337">
        <v>4</v>
      </c>
      <c r="AD520" s="1338"/>
      <c r="AE520" s="1338"/>
      <c r="AF520" s="1338"/>
      <c r="AG520" s="129" t="s">
        <v>403</v>
      </c>
      <c r="AH520" s="1402">
        <v>2025</v>
      </c>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4"/>
      <c r="C521" s="1434"/>
      <c r="D521" s="1434"/>
      <c r="E521" s="1434"/>
      <c r="F521" s="1434"/>
      <c r="G521" s="1434"/>
      <c r="H521" s="1435"/>
      <c r="I521" s="114" t="s">
        <v>421</v>
      </c>
      <c r="AB521" s="65"/>
      <c r="AC521" s="1663" t="s">
        <v>592</v>
      </c>
      <c r="AD521" s="1664"/>
      <c r="AE521" s="1664"/>
      <c r="AF521" s="1664"/>
      <c r="AG521" s="13" t="s">
        <v>403</v>
      </c>
      <c r="AH521" s="1402"/>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v>4</v>
      </c>
      <c r="AD522" s="1664"/>
      <c r="AE522" s="1664"/>
      <c r="AF522" s="1664"/>
      <c r="AG522" s="38" t="s">
        <v>403</v>
      </c>
      <c r="AH522" s="1402">
        <v>2025</v>
      </c>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4"/>
      <c r="C523" s="1434"/>
      <c r="D523" s="1434"/>
      <c r="E523" s="1434"/>
      <c r="F523" s="1434"/>
      <c r="G523" s="1434"/>
      <c r="H523" s="1435"/>
      <c r="I523" s="42" t="s">
        <v>423</v>
      </c>
      <c r="J523" s="42"/>
      <c r="K523" s="42"/>
      <c r="L523" s="42"/>
      <c r="M523" s="42"/>
      <c r="N523" s="42"/>
      <c r="O523" s="1751" t="s">
        <v>2693</v>
      </c>
      <c r="P523" s="1752"/>
      <c r="Q523" s="1752"/>
      <c r="R523" s="1752"/>
      <c r="S523" s="1752"/>
      <c r="T523" s="1752"/>
      <c r="U523" s="1752"/>
      <c r="V523" s="1752"/>
      <c r="W523" s="1752"/>
      <c r="X523" s="1752"/>
      <c r="Y523" s="1752"/>
      <c r="Z523" s="1752"/>
      <c r="AA523" s="1752"/>
      <c r="AC523" s="1663">
        <v>4</v>
      </c>
      <c r="AD523" s="1664"/>
      <c r="AE523" s="1664"/>
      <c r="AF523" s="1664"/>
      <c r="AG523" s="13" t="s">
        <v>403</v>
      </c>
      <c r="AH523" s="1402">
        <v>2025</v>
      </c>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4"/>
      <c r="C524" s="1434"/>
      <c r="D524" s="1434"/>
      <c r="E524" s="1434"/>
      <c r="F524" s="1434"/>
      <c r="G524" s="1434"/>
      <c r="H524" s="1435"/>
      <c r="I524" t="s">
        <v>421</v>
      </c>
      <c r="AC524" s="1663" t="s">
        <v>592</v>
      </c>
      <c r="AD524" s="1664"/>
      <c r="AE524" s="1664"/>
      <c r="AF524" s="1664"/>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v>4</v>
      </c>
      <c r="AD525" s="1664"/>
      <c r="AE525" s="1664"/>
      <c r="AF525" s="1664"/>
      <c r="AG525" s="38" t="s">
        <v>403</v>
      </c>
      <c r="AH525" s="1402">
        <v>2025</v>
      </c>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4"/>
      <c r="C526" s="1434"/>
      <c r="D526" s="1434"/>
      <c r="E526" s="1434"/>
      <c r="F526" s="1434"/>
      <c r="G526" s="1434"/>
      <c r="H526" s="1435"/>
      <c r="I526" s="42" t="s">
        <v>423</v>
      </c>
      <c r="J526" s="42"/>
      <c r="K526" s="42"/>
      <c r="L526" s="42"/>
      <c r="M526" s="42"/>
      <c r="N526" s="42"/>
      <c r="O526" s="1751" t="s">
        <v>2704</v>
      </c>
      <c r="P526" s="1752"/>
      <c r="Q526" s="1752"/>
      <c r="R526" s="1752"/>
      <c r="S526" s="1752"/>
      <c r="T526" s="1752"/>
      <c r="U526" s="1752"/>
      <c r="V526" s="1752"/>
      <c r="W526" s="1752"/>
      <c r="X526" s="1752"/>
      <c r="Y526" s="1752"/>
      <c r="Z526" s="1752"/>
      <c r="AA526" s="1752"/>
      <c r="AC526" s="1663">
        <v>5</v>
      </c>
      <c r="AD526" s="1664"/>
      <c r="AE526" s="1664"/>
      <c r="AF526" s="1664"/>
      <c r="AG526" s="13" t="s">
        <v>403</v>
      </c>
      <c r="AH526" s="1402">
        <v>2025</v>
      </c>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4"/>
      <c r="C527" s="1434"/>
      <c r="D527" s="1434"/>
      <c r="E527" s="1434"/>
      <c r="F527" s="1434"/>
      <c r="G527" s="1434"/>
      <c r="H527" s="1435"/>
      <c r="I527" t="s">
        <v>421</v>
      </c>
      <c r="AC527" s="1663" t="s">
        <v>592</v>
      </c>
      <c r="AD527" s="1664"/>
      <c r="AE527" s="1664"/>
      <c r="AF527" s="1664"/>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v>5</v>
      </c>
      <c r="AD528" s="1664"/>
      <c r="AE528" s="1664"/>
      <c r="AF528" s="1664"/>
      <c r="AG528" s="38" t="s">
        <v>403</v>
      </c>
      <c r="AH528" s="1402">
        <v>2025</v>
      </c>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4"/>
      <c r="C529" s="1434"/>
      <c r="D529" s="1434"/>
      <c r="E529" s="1434"/>
      <c r="F529" s="1434"/>
      <c r="G529" s="1434"/>
      <c r="H529" s="1435"/>
      <c r="I529" s="42" t="s">
        <v>423</v>
      </c>
      <c r="J529" s="42"/>
      <c r="K529" s="42"/>
      <c r="L529" s="42"/>
      <c r="M529" s="42"/>
      <c r="N529" s="42"/>
      <c r="O529" s="1751" t="s">
        <v>334</v>
      </c>
      <c r="P529" s="1752"/>
      <c r="Q529" s="1752"/>
      <c r="R529" s="1752"/>
      <c r="S529" s="1752"/>
      <c r="T529" s="1752"/>
      <c r="U529" s="1752"/>
      <c r="V529" s="1752"/>
      <c r="W529" s="1752"/>
      <c r="X529" s="1752"/>
      <c r="Y529" s="1752"/>
      <c r="Z529" s="1752"/>
      <c r="AA529" s="1752"/>
      <c r="AC529" s="1663" t="s">
        <v>592</v>
      </c>
      <c r="AD529" s="1664"/>
      <c r="AE529" s="1664"/>
      <c r="AF529" s="1664"/>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4"/>
      <c r="C530" s="1434"/>
      <c r="D530" s="1434"/>
      <c r="E530" s="1434"/>
      <c r="F530" s="1434"/>
      <c r="G530" s="1434"/>
      <c r="H530" s="1435"/>
      <c r="I530" t="s">
        <v>421</v>
      </c>
      <c r="AC530" s="1663" t="s">
        <v>592</v>
      </c>
      <c r="AD530" s="1664"/>
      <c r="AE530" s="1664"/>
      <c r="AF530" s="1664"/>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4"/>
      <c r="C532" s="1434"/>
      <c r="D532" s="1434"/>
      <c r="E532" s="1434"/>
      <c r="F532" s="1434"/>
      <c r="G532" s="1434"/>
      <c r="H532" s="1435"/>
      <c r="I532" s="42" t="s">
        <v>423</v>
      </c>
      <c r="J532" s="42"/>
      <c r="K532" s="42"/>
      <c r="L532" s="42"/>
      <c r="M532" s="42"/>
      <c r="N532" s="42"/>
      <c r="O532" s="1751" t="s">
        <v>334</v>
      </c>
      <c r="P532" s="1752"/>
      <c r="Q532" s="1752"/>
      <c r="R532" s="1752"/>
      <c r="S532" s="1752"/>
      <c r="T532" s="1752"/>
      <c r="U532" s="1752"/>
      <c r="V532" s="1752"/>
      <c r="W532" s="1752"/>
      <c r="X532" s="1752"/>
      <c r="Y532" s="1752"/>
      <c r="Z532" s="1752"/>
      <c r="AA532" s="1752"/>
      <c r="AC532" s="1663" t="s">
        <v>592</v>
      </c>
      <c r="AD532" s="1664"/>
      <c r="AE532" s="1664"/>
      <c r="AF532" s="1664"/>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4"/>
      <c r="C533" s="1434"/>
      <c r="D533" s="1434"/>
      <c r="E533" s="1434"/>
      <c r="F533" s="1434"/>
      <c r="G533" s="1434"/>
      <c r="H533" s="1435"/>
      <c r="I533" t="s">
        <v>421</v>
      </c>
      <c r="AC533" s="1663" t="s">
        <v>592</v>
      </c>
      <c r="AD533" s="1664"/>
      <c r="AE533" s="1664"/>
      <c r="AF533" s="1664"/>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4"/>
      <c r="C535" s="1434"/>
      <c r="D535" s="1434"/>
      <c r="E535" s="1434"/>
      <c r="F535" s="1434"/>
      <c r="G535" s="1434"/>
      <c r="H535" s="1435"/>
      <c r="I535" s="42" t="s">
        <v>423</v>
      </c>
      <c r="J535" s="42"/>
      <c r="K535" s="42"/>
      <c r="L535" s="42"/>
      <c r="M535" s="42"/>
      <c r="N535" s="42"/>
      <c r="O535" s="1751" t="s">
        <v>334</v>
      </c>
      <c r="P535" s="1752"/>
      <c r="Q535" s="1752"/>
      <c r="R535" s="1752"/>
      <c r="S535" s="1752"/>
      <c r="T535" s="1752"/>
      <c r="U535" s="1752"/>
      <c r="V535" s="1752"/>
      <c r="W535" s="1752"/>
      <c r="X535" s="1752"/>
      <c r="Y535" s="1752"/>
      <c r="Z535" s="1752"/>
      <c r="AA535" s="1752"/>
      <c r="AC535" s="1663" t="s">
        <v>592</v>
      </c>
      <c r="AD535" s="1664"/>
      <c r="AE535" s="1664"/>
      <c r="AF535" s="1664"/>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4"/>
      <c r="C536" s="1434"/>
      <c r="D536" s="1434"/>
      <c r="E536" s="1434"/>
      <c r="F536" s="1434"/>
      <c r="G536" s="1434"/>
      <c r="H536" s="1435"/>
      <c r="I536" t="s">
        <v>421</v>
      </c>
      <c r="AC536" s="1663" t="s">
        <v>592</v>
      </c>
      <c r="AD536" s="1664"/>
      <c r="AE536" s="1664"/>
      <c r="AF536" s="1664"/>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3</v>
      </c>
      <c r="AD538" s="1664"/>
      <c r="AE538" s="1664"/>
      <c r="AF538" s="1664"/>
      <c r="AG538" s="38" t="s">
        <v>403</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2</v>
      </c>
      <c r="AD539" s="1664"/>
      <c r="AE539" s="1664"/>
      <c r="AF539" s="1664"/>
      <c r="AG539" s="13" t="s">
        <v>403</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9</v>
      </c>
      <c r="AD540" s="1664"/>
      <c r="AE540" s="1664"/>
      <c r="AF540" s="1664"/>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9</v>
      </c>
      <c r="AD541" s="1664"/>
      <c r="AE541" s="1664"/>
      <c r="AF541" s="1664"/>
      <c r="AG541" s="38" t="s">
        <v>403</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12</v>
      </c>
      <c r="AD542" s="1664"/>
      <c r="AE542" s="1664"/>
      <c r="AF542" s="1664"/>
      <c r="AG542" s="38" t="s">
        <v>403</v>
      </c>
      <c r="AH542" s="1402">
        <v>2027</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3" t="s">
        <v>2104</v>
      </c>
      <c r="C551" s="1432"/>
      <c r="D551" s="1432"/>
      <c r="E551" s="1432"/>
      <c r="F551" s="1432"/>
      <c r="G551" s="1432"/>
      <c r="H551" s="1432"/>
      <c r="I551" s="1432"/>
      <c r="J551" s="1432"/>
      <c r="K551" s="1432"/>
      <c r="L551" s="1433"/>
      <c r="M551" s="1673" t="s">
        <v>2105</v>
      </c>
      <c r="N551" s="1432"/>
      <c r="O551" s="1432"/>
      <c r="P551" s="1433"/>
      <c r="Q551" s="1673" t="s">
        <v>2131</v>
      </c>
      <c r="R551" s="1432"/>
      <c r="S551" s="1433"/>
      <c r="T551" s="1673" t="s">
        <v>2132</v>
      </c>
      <c r="U551" s="1432"/>
      <c r="V551" s="1433"/>
      <c r="W551" s="1673" t="s">
        <v>454</v>
      </c>
      <c r="X551" s="1432"/>
      <c r="Y551" s="1433"/>
      <c r="Z551" s="1673" t="s">
        <v>1853</v>
      </c>
      <c r="AA551" s="1432"/>
      <c r="AB551" s="1432"/>
      <c r="AC551" s="1432"/>
      <c r="AD551" s="1433"/>
      <c r="AE551" s="1673" t="s">
        <v>1677</v>
      </c>
      <c r="AF551" s="1432"/>
      <c r="AG551" s="1432"/>
      <c r="AH551" s="1433"/>
      <c r="AI551" s="1673" t="s">
        <v>1678</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Yes</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4" t="s">
        <v>2744</v>
      </c>
      <c r="D554" s="1694"/>
      <c r="E554" s="1694"/>
      <c r="F554" s="1694"/>
      <c r="G554" s="1694"/>
      <c r="H554" s="1694"/>
      <c r="I554" s="1694"/>
      <c r="J554" s="1694"/>
      <c r="K554" s="1694"/>
      <c r="L554" s="1694"/>
      <c r="M554" s="1694" t="s">
        <v>2121</v>
      </c>
      <c r="N554" s="1694"/>
      <c r="O554" s="1694"/>
      <c r="P554" s="1694"/>
      <c r="Q554" s="1454">
        <v>24</v>
      </c>
      <c r="R554" s="1454"/>
      <c r="S554" s="1455"/>
      <c r="T554" s="1453"/>
      <c r="U554" s="1454"/>
      <c r="V554" s="1455"/>
      <c r="W554" s="1456">
        <v>6.1769999999999992E-2</v>
      </c>
      <c r="X554" s="1457"/>
      <c r="Y554" s="1458"/>
      <c r="Z554" s="1695" t="s">
        <v>2705</v>
      </c>
      <c r="AA554" s="1695"/>
      <c r="AB554" s="1695"/>
      <c r="AC554" s="1695"/>
      <c r="AD554" s="1695"/>
      <c r="AE554" s="1676">
        <v>1</v>
      </c>
      <c r="AF554" s="1677"/>
      <c r="AG554" s="1677"/>
      <c r="AH554" s="1678"/>
      <c r="AI554" s="1679"/>
      <c r="AJ554" s="1680"/>
      <c r="AK554" s="1680"/>
      <c r="AL554" s="1681"/>
      <c r="AM554" s="1669">
        <v>23000000</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2745</v>
      </c>
      <c r="D555" s="1682"/>
      <c r="E555" s="1682"/>
      <c r="F555" s="1682"/>
      <c r="G555" s="1682"/>
      <c r="H555" s="1682"/>
      <c r="I555" s="1682"/>
      <c r="J555" s="1682"/>
      <c r="K555" s="1682"/>
      <c r="L555" s="1682"/>
      <c r="M555" s="1694" t="s">
        <v>2122</v>
      </c>
      <c r="N555" s="1694"/>
      <c r="O555" s="1694"/>
      <c r="P555" s="1694"/>
      <c r="Q555" s="1453">
        <v>24</v>
      </c>
      <c r="R555" s="1454"/>
      <c r="S555" s="1455"/>
      <c r="T555" s="1453"/>
      <c r="U555" s="1454"/>
      <c r="V555" s="1455"/>
      <c r="W555" s="1456">
        <f>W554</f>
        <v>6.1769999999999992E-2</v>
      </c>
      <c r="X555" s="1457"/>
      <c r="Y555" s="1458"/>
      <c r="Z555" s="1695" t="s">
        <v>2705</v>
      </c>
      <c r="AA555" s="1695"/>
      <c r="AB555" s="1695"/>
      <c r="AC555" s="1695"/>
      <c r="AD555" s="1695"/>
      <c r="AE555" s="1676">
        <v>1</v>
      </c>
      <c r="AF555" s="1677"/>
      <c r="AG555" s="1677"/>
      <c r="AH555" s="1678"/>
      <c r="AI555" s="1679"/>
      <c r="AJ555" s="1680"/>
      <c r="AK555" s="1680"/>
      <c r="AL555" s="1681"/>
      <c r="AM555" s="1669">
        <v>3000000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2746</v>
      </c>
      <c r="D556" s="1682"/>
      <c r="E556" s="1682"/>
      <c r="F556" s="1682"/>
      <c r="G556" s="1682"/>
      <c r="H556" s="1682"/>
      <c r="I556" s="1682"/>
      <c r="J556" s="1682"/>
      <c r="K556" s="1682"/>
      <c r="L556" s="1682"/>
      <c r="M556" s="1694" t="s">
        <v>2120</v>
      </c>
      <c r="N556" s="1694"/>
      <c r="O556" s="1694"/>
      <c r="P556" s="1694"/>
      <c r="Q556" s="1453">
        <v>24</v>
      </c>
      <c r="R556" s="1454"/>
      <c r="S556" s="1455"/>
      <c r="T556" s="1453"/>
      <c r="U556" s="1454"/>
      <c r="V556" s="1455"/>
      <c r="W556" s="1456">
        <f>W555+0.25%</f>
        <v>6.4269999999999994E-2</v>
      </c>
      <c r="X556" s="1457"/>
      <c r="Y556" s="1458"/>
      <c r="Z556" s="1695" t="s">
        <v>2705</v>
      </c>
      <c r="AA556" s="1695"/>
      <c r="AB556" s="1695"/>
      <c r="AC556" s="1695"/>
      <c r="AD556" s="1695"/>
      <c r="AE556" s="1676">
        <v>1</v>
      </c>
      <c r="AF556" s="1677"/>
      <c r="AG556" s="1677"/>
      <c r="AH556" s="1678"/>
      <c r="AI556" s="1679"/>
      <c r="AJ556" s="1680"/>
      <c r="AK556" s="1680"/>
      <c r="AL556" s="1681"/>
      <c r="AM556" s="1669">
        <v>5177243.7829233753</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2738</v>
      </c>
      <c r="D557" s="1682"/>
      <c r="E557" s="1682"/>
      <c r="F557" s="1682"/>
      <c r="G557" s="1682"/>
      <c r="H557" s="1682"/>
      <c r="I557" s="1682"/>
      <c r="J557" s="1682"/>
      <c r="K557" s="1682"/>
      <c r="L557" s="1682"/>
      <c r="M557" s="1694" t="s">
        <v>2112</v>
      </c>
      <c r="N557" s="1694"/>
      <c r="O557" s="1694"/>
      <c r="P557" s="1694"/>
      <c r="Q557" s="1453"/>
      <c r="R557" s="1454"/>
      <c r="S557" s="1455"/>
      <c r="T557" s="1453"/>
      <c r="U557" s="1454"/>
      <c r="V557" s="1455"/>
      <c r="W557" s="1456"/>
      <c r="X557" s="1457"/>
      <c r="Y557" s="1458"/>
      <c r="Z557" s="1695" t="s">
        <v>1185</v>
      </c>
      <c r="AA557" s="1695"/>
      <c r="AB557" s="1695"/>
      <c r="AC557" s="1695"/>
      <c r="AD557" s="1695"/>
      <c r="AE557" s="1676"/>
      <c r="AF557" s="1677"/>
      <c r="AG557" s="1677"/>
      <c r="AH557" s="1678"/>
      <c r="AI557" s="1679"/>
      <c r="AJ557" s="1680"/>
      <c r="AK557" s="1680"/>
      <c r="AL557" s="1681"/>
      <c r="AM557" s="1669">
        <v>1362528.895313262</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2739</v>
      </c>
      <c r="D558" s="1682"/>
      <c r="E558" s="1682"/>
      <c r="F558" s="1682"/>
      <c r="G558" s="1682"/>
      <c r="H558" s="1682"/>
      <c r="I558" s="1682"/>
      <c r="J558" s="1682"/>
      <c r="K558" s="1682"/>
      <c r="L558" s="1682"/>
      <c r="M558" s="1694" t="s">
        <v>2112</v>
      </c>
      <c r="N558" s="1694"/>
      <c r="O558" s="1694"/>
      <c r="P558" s="1694"/>
      <c r="Q558" s="1453"/>
      <c r="R558" s="1454"/>
      <c r="S558" s="1455"/>
      <c r="T558" s="1453"/>
      <c r="U558" s="1454"/>
      <c r="V558" s="1455"/>
      <c r="W558" s="1456"/>
      <c r="X558" s="1457"/>
      <c r="Y558" s="1458"/>
      <c r="Z558" s="1695" t="s">
        <v>1185</v>
      </c>
      <c r="AA558" s="1695"/>
      <c r="AB558" s="1695"/>
      <c r="AC558" s="1695"/>
      <c r="AD558" s="1695"/>
      <c r="AE558" s="1676"/>
      <c r="AF558" s="1677"/>
      <c r="AG558" s="1677"/>
      <c r="AH558" s="1678"/>
      <c r="AI558" s="1679"/>
      <c r="AJ558" s="1680"/>
      <c r="AK558" s="1680"/>
      <c r="AL558" s="1681"/>
      <c r="AM558" s="1669">
        <v>760320</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2" t="s">
        <v>2703</v>
      </c>
      <c r="D559" s="1682"/>
      <c r="E559" s="1682"/>
      <c r="F559" s="1682"/>
      <c r="G559" s="1682"/>
      <c r="H559" s="1682"/>
      <c r="I559" s="1682"/>
      <c r="J559" s="1682"/>
      <c r="K559" s="1682"/>
      <c r="L559" s="1682"/>
      <c r="M559" s="1694" t="s">
        <v>2118</v>
      </c>
      <c r="N559" s="1694"/>
      <c r="O559" s="1694"/>
      <c r="P559" s="1694"/>
      <c r="Q559" s="1453"/>
      <c r="R559" s="1454"/>
      <c r="S559" s="1455"/>
      <c r="T559" s="1453"/>
      <c r="U559" s="1454"/>
      <c r="V559" s="1455"/>
      <c r="W559" s="1456"/>
      <c r="X559" s="1457"/>
      <c r="Y559" s="1458"/>
      <c r="Z559" s="1695" t="s">
        <v>1185</v>
      </c>
      <c r="AA559" s="1695"/>
      <c r="AB559" s="1695"/>
      <c r="AC559" s="1695"/>
      <c r="AD559" s="1695"/>
      <c r="AE559" s="1676">
        <v>2</v>
      </c>
      <c r="AF559" s="1677"/>
      <c r="AG559" s="1677"/>
      <c r="AH559" s="1678"/>
      <c r="AI559" s="1679"/>
      <c r="AJ559" s="1680"/>
      <c r="AK559" s="1680"/>
      <c r="AL559" s="1681"/>
      <c r="AM559" s="1669">
        <v>3360000</v>
      </c>
      <c r="AN559" s="1670"/>
      <c r="AO559" s="1670"/>
      <c r="AP559" s="1670"/>
      <c r="AQ559" s="1670"/>
      <c r="AR559" s="1670"/>
      <c r="AS559" s="1671"/>
      <c r="AT559" s="1148" t="str">
        <f t="shared" si="0"/>
        <v/>
      </c>
      <c r="AU559" s="1147"/>
      <c r="BB559" s="3"/>
      <c r="BC559" s="3"/>
      <c r="BD559" s="3"/>
      <c r="BE559" s="3"/>
      <c r="BF559" s="3"/>
      <c r="BG559" s="3"/>
      <c r="BH559" s="3" t="s">
        <v>585</v>
      </c>
      <c r="BI559" s="3" t="str">
        <f>AG665</f>
        <v>Yes</v>
      </c>
    </row>
    <row r="560" spans="1:61" ht="12.95" customHeight="1">
      <c r="B560" s="52" t="s">
        <v>456</v>
      </c>
      <c r="C560" s="1682" t="s">
        <v>2734</v>
      </c>
      <c r="D560" s="1682"/>
      <c r="E560" s="1682"/>
      <c r="F560" s="1682"/>
      <c r="G560" s="1682"/>
      <c r="H560" s="1682"/>
      <c r="I560" s="1682"/>
      <c r="J560" s="1682"/>
      <c r="K560" s="1682"/>
      <c r="L560" s="1682"/>
      <c r="M560" s="1694" t="s">
        <v>2117</v>
      </c>
      <c r="N560" s="1694"/>
      <c r="O560" s="1694"/>
      <c r="P560" s="1694"/>
      <c r="Q560" s="1453"/>
      <c r="R560" s="1454"/>
      <c r="S560" s="1455"/>
      <c r="T560" s="1453"/>
      <c r="U560" s="1454"/>
      <c r="V560" s="1455"/>
      <c r="W560" s="1456"/>
      <c r="X560" s="1457"/>
      <c r="Y560" s="1458"/>
      <c r="Z560" s="1695" t="s">
        <v>1185</v>
      </c>
      <c r="AA560" s="1695"/>
      <c r="AB560" s="1695"/>
      <c r="AC560" s="1695"/>
      <c r="AD560" s="1695"/>
      <c r="AE560" s="1676">
        <v>3</v>
      </c>
      <c r="AF560" s="1677"/>
      <c r="AG560" s="1677"/>
      <c r="AH560" s="1678"/>
      <c r="AI560" s="1679"/>
      <c r="AJ560" s="1680"/>
      <c r="AK560" s="1680"/>
      <c r="AL560" s="1681"/>
      <c r="AM560" s="1669">
        <v>1700000</v>
      </c>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t="s">
        <v>2706</v>
      </c>
      <c r="D561" s="1682"/>
      <c r="E561" s="1682"/>
      <c r="F561" s="1682"/>
      <c r="G561" s="1682"/>
      <c r="H561" s="1682"/>
      <c r="I561" s="1682"/>
      <c r="J561" s="1682"/>
      <c r="K561" s="1682"/>
      <c r="L561" s="1682"/>
      <c r="M561" s="1694" t="s">
        <v>2107</v>
      </c>
      <c r="N561" s="1694"/>
      <c r="O561" s="1694"/>
      <c r="P561" s="1694"/>
      <c r="Q561" s="1453"/>
      <c r="R561" s="1454"/>
      <c r="S561" s="1455"/>
      <c r="T561" s="1453"/>
      <c r="U561" s="1454"/>
      <c r="V561" s="1455"/>
      <c r="W561" s="1456"/>
      <c r="X561" s="1457"/>
      <c r="Y561" s="1458"/>
      <c r="Z561" s="1695" t="s">
        <v>1185</v>
      </c>
      <c r="AA561" s="1695"/>
      <c r="AB561" s="1695"/>
      <c r="AC561" s="1695"/>
      <c r="AD561" s="1695"/>
      <c r="AE561" s="1676"/>
      <c r="AF561" s="1677"/>
      <c r="AG561" s="1677"/>
      <c r="AH561" s="1678"/>
      <c r="AI561" s="1679"/>
      <c r="AJ561" s="1680"/>
      <c r="AK561" s="1680"/>
      <c r="AL561" s="1681"/>
      <c r="AM561" s="1669">
        <v>6521312.2099005263</v>
      </c>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3"/>
      <c r="R562" s="1454"/>
      <c r="S562" s="1455"/>
      <c r="T562" s="1453"/>
      <c r="U562" s="1454"/>
      <c r="V562" s="1455"/>
      <c r="W562" s="1456"/>
      <c r="X562" s="1457"/>
      <c r="Y562" s="1458"/>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3"/>
      <c r="R563" s="1454"/>
      <c r="S563" s="1455"/>
      <c r="T563" s="1453"/>
      <c r="U563" s="1454"/>
      <c r="V563" s="1455"/>
      <c r="W563" s="1456"/>
      <c r="X563" s="1457"/>
      <c r="Y563" s="1458"/>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3"/>
      <c r="R564" s="1454"/>
      <c r="S564" s="1455"/>
      <c r="T564" s="1453"/>
      <c r="U564" s="1454"/>
      <c r="V564" s="1455"/>
      <c r="W564" s="1456"/>
      <c r="X564" s="1457"/>
      <c r="Y564" s="1458"/>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3"/>
      <c r="R565" s="1454"/>
      <c r="S565" s="1455"/>
      <c r="T565" s="1453"/>
      <c r="U565" s="1454"/>
      <c r="V565" s="1455"/>
      <c r="W565" s="1456"/>
      <c r="X565" s="1457"/>
      <c r="Y565" s="1458"/>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44881404.888137162</v>
      </c>
      <c r="AN566" s="1617"/>
      <c r="AO566" s="1617"/>
      <c r="AP566" s="1617"/>
      <c r="AQ566" s="1617"/>
      <c r="AR566" s="1617"/>
      <c r="AS566" s="1618"/>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Citi Community Capital-Tax Exempt</v>
      </c>
      <c r="H568" s="1358"/>
      <c r="I568" s="1358"/>
      <c r="J568" s="1358"/>
      <c r="K568" s="1358"/>
      <c r="L568" s="1358"/>
      <c r="M568" s="1358"/>
      <c r="N568" s="1358"/>
      <c r="O568" s="1358"/>
      <c r="P568" s="1358"/>
      <c r="Q568" s="1358"/>
      <c r="R568" s="1358"/>
      <c r="S568" s="8"/>
      <c r="T568" s="55" t="s">
        <v>113</v>
      </c>
      <c r="U568" t="s">
        <v>464</v>
      </c>
      <c r="Z568" s="1358" t="str">
        <f>C555</f>
        <v>Citi Community Capital- Recycled Bonds</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2730</v>
      </c>
      <c r="H569" s="1371"/>
      <c r="I569" s="1371"/>
      <c r="J569" s="1371"/>
      <c r="K569" s="1371"/>
      <c r="L569" s="1371"/>
      <c r="M569" s="1371"/>
      <c r="N569" s="1371"/>
      <c r="O569" s="1371"/>
      <c r="P569" s="1371"/>
      <c r="Q569" s="1371"/>
      <c r="R569" s="1371"/>
      <c r="S569" s="8"/>
      <c r="T569" s="22"/>
      <c r="U569" t="s">
        <v>85</v>
      </c>
      <c r="Z569" s="1371" t="str">
        <f>G569</f>
        <v>300 South Grand Ave, Suite 3110</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2731</v>
      </c>
      <c r="H570" s="1371"/>
      <c r="I570" s="1371"/>
      <c r="J570" s="1371"/>
      <c r="K570" s="1371"/>
      <c r="L570" s="1371"/>
      <c r="M570" s="1371"/>
      <c r="N570" s="1371"/>
      <c r="O570" s="1371"/>
      <c r="P570" s="1371"/>
      <c r="Q570" s="1371"/>
      <c r="R570" s="1371"/>
      <c r="T570" s="22"/>
      <c r="U570" t="s">
        <v>581</v>
      </c>
      <c r="Z570" s="1348" t="str">
        <f>G570</f>
        <v>Los Angeles, CA 90071</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2732</v>
      </c>
      <c r="H571" s="1371"/>
      <c r="I571" s="1371"/>
      <c r="J571" s="1371"/>
      <c r="K571" s="1371"/>
      <c r="L571" s="1371"/>
      <c r="M571" s="1371"/>
      <c r="N571" s="1371"/>
      <c r="O571" s="1371"/>
      <c r="P571" s="1371"/>
      <c r="Q571" s="1371"/>
      <c r="R571" s="1371"/>
      <c r="S571" s="8"/>
      <c r="T571" s="22"/>
      <c r="U571" t="s">
        <v>17</v>
      </c>
      <c r="Z571" s="1348" t="str">
        <f>G571</f>
        <v>Hao Li</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2735</v>
      </c>
      <c r="H572" s="1346"/>
      <c r="I572" s="1346"/>
      <c r="J572" s="1346"/>
      <c r="K572" s="1346"/>
      <c r="L572" s="1346"/>
      <c r="O572" s="33" t="s">
        <v>206</v>
      </c>
      <c r="P572" s="1438"/>
      <c r="Q572" s="1438"/>
      <c r="R572" s="1438"/>
      <c r="S572" s="10"/>
      <c r="T572" s="22"/>
      <c r="U572" t="s">
        <v>316</v>
      </c>
      <c r="Z572" s="1346" t="str">
        <f>G572</f>
        <v>(213) 239-1914</v>
      </c>
      <c r="AA572" s="1346"/>
      <c r="AB572" s="1346"/>
      <c r="AC572" s="1346"/>
      <c r="AD572" s="1346"/>
      <c r="AE572" s="1346"/>
      <c r="AH572" s="33" t="s">
        <v>206</v>
      </c>
      <c r="AI572" s="1438"/>
      <c r="AJ572" s="1438"/>
      <c r="AK572" s="1438"/>
      <c r="BB572" s="3"/>
      <c r="BC572" s="3"/>
      <c r="BD572" s="3"/>
      <c r="BE572" s="3"/>
      <c r="BF572" s="3"/>
      <c r="BG572" s="3"/>
      <c r="BH572" s="3"/>
      <c r="BI572" s="3"/>
    </row>
    <row r="573" spans="1:61" ht="12.95" customHeight="1">
      <c r="A573" s="22"/>
      <c r="B573" t="s">
        <v>18</v>
      </c>
      <c r="H573" s="1371" t="s">
        <v>2736</v>
      </c>
      <c r="I573" s="1371"/>
      <c r="J573" s="1371"/>
      <c r="K573" s="1371"/>
      <c r="L573" s="1371"/>
      <c r="M573" s="1371"/>
      <c r="N573" s="1371"/>
      <c r="O573" s="1371"/>
      <c r="P573" s="1371"/>
      <c r="Q573" s="1371"/>
      <c r="R573" s="1371"/>
      <c r="S573" s="8"/>
      <c r="T573" s="22"/>
      <c r="U573" t="s">
        <v>18</v>
      </c>
      <c r="AA573" s="1371" t="str">
        <f>H573</f>
        <v>Construction Loan</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7" t="s">
        <v>2737</v>
      </c>
      <c r="N574" s="1697"/>
      <c r="O574" s="1697"/>
      <c r="P574" s="1697"/>
      <c r="Q574" s="1697"/>
      <c r="R574" s="1697"/>
      <c r="S574" s="8"/>
      <c r="T574" s="22"/>
      <c r="U574" s="320" t="s">
        <v>1186</v>
      </c>
      <c r="AA574" s="8"/>
      <c r="AB574" s="8"/>
      <c r="AC574" s="8"/>
      <c r="AD574" s="8"/>
      <c r="AE574" s="8"/>
      <c r="AF574" s="1697" t="s">
        <v>2737</v>
      </c>
      <c r="AG574" s="1697"/>
      <c r="AH574" s="1697"/>
      <c r="AI574" s="1697"/>
      <c r="AJ574" s="1697"/>
      <c r="AK574" s="1697"/>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Citi Community Capital-Taxable Bonds</v>
      </c>
      <c r="H577" s="1358"/>
      <c r="I577" s="1358"/>
      <c r="J577" s="1358"/>
      <c r="K577" s="1358"/>
      <c r="L577" s="1358"/>
      <c r="M577" s="1358"/>
      <c r="N577" s="1358"/>
      <c r="O577" s="1358"/>
      <c r="P577" s="1358"/>
      <c r="Q577" s="1358"/>
      <c r="R577" s="1358"/>
      <c r="T577" s="55" t="s">
        <v>582</v>
      </c>
      <c r="U577" t="s">
        <v>464</v>
      </c>
      <c r="Z577" s="1358" t="str">
        <f>C557</f>
        <v>Richman Group Federal LIHTC Equity</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tr">
        <f>G569</f>
        <v>300 South Grand Ave, Suite 3110</v>
      </c>
      <c r="H578" s="1371"/>
      <c r="I578" s="1371"/>
      <c r="J578" s="1371"/>
      <c r="K578" s="1371"/>
      <c r="L578" s="1371"/>
      <c r="M578" s="1371"/>
      <c r="N578" s="1371"/>
      <c r="O578" s="1371"/>
      <c r="P578" s="1371"/>
      <c r="Q578" s="1371"/>
      <c r="R578" s="1371"/>
      <c r="T578" s="22"/>
      <c r="U578" t="s">
        <v>85</v>
      </c>
      <c r="Z578" s="1371" t="s">
        <v>2742</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tr">
        <f>G570</f>
        <v>Los Angeles, CA 90071</v>
      </c>
      <c r="H579" s="1348"/>
      <c r="I579" s="1348"/>
      <c r="J579" s="1348"/>
      <c r="K579" s="1348"/>
      <c r="L579" s="1348"/>
      <c r="M579" s="1348"/>
      <c r="N579" s="1348"/>
      <c r="O579" s="1348"/>
      <c r="P579" s="1348"/>
      <c r="Q579" s="1348"/>
      <c r="R579" s="1348"/>
      <c r="T579" s="22"/>
      <c r="U579" t="s">
        <v>581</v>
      </c>
      <c r="Z579" s="1348" t="s">
        <v>2743</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tr">
        <f>G571</f>
        <v>Hao Li</v>
      </c>
      <c r="H580" s="1348"/>
      <c r="I580" s="1348"/>
      <c r="J580" s="1348"/>
      <c r="K580" s="1348"/>
      <c r="L580" s="1348"/>
      <c r="M580" s="1348"/>
      <c r="N580" s="1348"/>
      <c r="O580" s="1348"/>
      <c r="P580" s="1348"/>
      <c r="Q580" s="1348"/>
      <c r="R580" s="1348"/>
      <c r="T580" s="22"/>
      <c r="U580" t="s">
        <v>17</v>
      </c>
      <c r="Z580" s="1348" t="s">
        <v>2740</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tr">
        <f>G572</f>
        <v>(213) 239-1914</v>
      </c>
      <c r="H581" s="1346"/>
      <c r="I581" s="1346"/>
      <c r="J581" s="1346"/>
      <c r="K581" s="1346"/>
      <c r="L581" s="1346"/>
      <c r="O581" s="33" t="s">
        <v>206</v>
      </c>
      <c r="P581" s="1438"/>
      <c r="Q581" s="1438"/>
      <c r="R581" s="1438"/>
      <c r="T581" s="22"/>
      <c r="U581" t="s">
        <v>316</v>
      </c>
      <c r="Z581" s="1346">
        <v>5034598741</v>
      </c>
      <c r="AA581" s="1346"/>
      <c r="AB581" s="1346"/>
      <c r="AC581" s="1346"/>
      <c r="AD581" s="1346"/>
      <c r="AE581" s="1346"/>
      <c r="AH581" s="33" t="s">
        <v>206</v>
      </c>
      <c r="AI581" s="1438"/>
      <c r="AJ581" s="1438"/>
      <c r="AK581" s="1438"/>
      <c r="BB581" s="3"/>
      <c r="BC581" s="3"/>
    </row>
    <row r="582" spans="1:55" ht="12.95" customHeight="1">
      <c r="A582" s="22"/>
      <c r="B582" t="s">
        <v>18</v>
      </c>
      <c r="H582" s="1371" t="str">
        <f>H573</f>
        <v>Construction Loan</v>
      </c>
      <c r="I582" s="1371"/>
      <c r="J582" s="1371"/>
      <c r="K582" s="1371"/>
      <c r="L582" s="1371"/>
      <c r="M582" s="1371"/>
      <c r="N582" s="1371"/>
      <c r="O582" s="1371"/>
      <c r="P582" s="1371"/>
      <c r="Q582" s="1371"/>
      <c r="R582" s="1371"/>
      <c r="T582" s="22"/>
      <c r="U582" t="s">
        <v>18</v>
      </c>
      <c r="AA582" s="1371" t="s">
        <v>2741</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Richman Group State LIHTC Equity</v>
      </c>
      <c r="H585" s="1358"/>
      <c r="I585" s="1358"/>
      <c r="J585" s="1358"/>
      <c r="K585" s="1358"/>
      <c r="L585" s="1358"/>
      <c r="M585" s="1358"/>
      <c r="N585" s="1358"/>
      <c r="O585" s="1358"/>
      <c r="P585" s="1358"/>
      <c r="Q585" s="1358"/>
      <c r="R585" s="1358"/>
      <c r="T585" s="55" t="s">
        <v>585</v>
      </c>
      <c r="U585" t="s">
        <v>464</v>
      </c>
      <c r="Z585" s="1358" t="str">
        <f>C559</f>
        <v>City of Woodland Seller Note</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tr">
        <f>Z578</f>
        <v>707 SW Washington St, Suite 1510</v>
      </c>
      <c r="H586" s="1371"/>
      <c r="I586" s="1371"/>
      <c r="J586" s="1371"/>
      <c r="K586" s="1371"/>
      <c r="L586" s="1371"/>
      <c r="M586" s="1371"/>
      <c r="N586" s="1371"/>
      <c r="O586" s="1371"/>
      <c r="P586" s="1371"/>
      <c r="Q586" s="1371"/>
      <c r="R586" s="1371"/>
      <c r="T586" s="22"/>
      <c r="U586" t="s">
        <v>85</v>
      </c>
      <c r="Z586" s="1371" t="s">
        <v>2709</v>
      </c>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tr">
        <f>Z579</f>
        <v>Portland, OR 97205</v>
      </c>
      <c r="H587" s="1371"/>
      <c r="I587" s="1371"/>
      <c r="J587" s="1371"/>
      <c r="K587" s="1371"/>
      <c r="L587" s="1371"/>
      <c r="M587" s="1371"/>
      <c r="N587" s="1371"/>
      <c r="O587" s="1371"/>
      <c r="P587" s="1371"/>
      <c r="Q587" s="1371"/>
      <c r="R587" s="1371"/>
      <c r="T587" s="22"/>
      <c r="U587" t="s">
        <v>581</v>
      </c>
      <c r="Z587" s="1348" t="s">
        <v>2708</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tr">
        <f>Z580</f>
        <v>Terry Gentry</v>
      </c>
      <c r="H588" s="1371"/>
      <c r="I588" s="1371"/>
      <c r="J588" s="1371"/>
      <c r="K588" s="1371"/>
      <c r="L588" s="1371"/>
      <c r="M588" s="1371"/>
      <c r="N588" s="1371"/>
      <c r="O588" s="1371"/>
      <c r="P588" s="1371"/>
      <c r="Q588" s="1371"/>
      <c r="R588" s="1371"/>
      <c r="T588" s="22"/>
      <c r="U588" t="s">
        <v>17</v>
      </c>
      <c r="Z588" s="1348" t="s">
        <v>2701</v>
      </c>
      <c r="AA588" s="1348"/>
      <c r="AB588" s="1348"/>
      <c r="AC588" s="1348"/>
      <c r="AD588" s="1348"/>
      <c r="AE588" s="1348"/>
      <c r="AF588" s="1348"/>
      <c r="AG588" s="1348"/>
      <c r="AH588" s="1348"/>
      <c r="AI588" s="1348"/>
      <c r="AJ588" s="1348"/>
      <c r="AK588" s="1348"/>
    </row>
    <row r="589" spans="1:55" ht="12.95" customHeight="1">
      <c r="A589" s="22"/>
      <c r="B589" t="s">
        <v>316</v>
      </c>
      <c r="G589" s="1346">
        <f>Z581</f>
        <v>5034598741</v>
      </c>
      <c r="H589" s="1346"/>
      <c r="I589" s="1346"/>
      <c r="J589" s="1346"/>
      <c r="K589" s="1346"/>
      <c r="L589" s="1346"/>
      <c r="O589" s="33" t="s">
        <v>206</v>
      </c>
      <c r="P589" s="1438"/>
      <c r="Q589" s="1438"/>
      <c r="R589" s="1438"/>
      <c r="T589" s="22"/>
      <c r="U589" t="s">
        <v>316</v>
      </c>
      <c r="Z589" s="1693" t="s">
        <v>2618</v>
      </c>
      <c r="AA589" s="1346"/>
      <c r="AB589" s="1346"/>
      <c r="AC589" s="1346"/>
      <c r="AD589" s="1346"/>
      <c r="AE589" s="1346"/>
      <c r="AH589" s="33" t="s">
        <v>206</v>
      </c>
      <c r="AI589" s="1438"/>
      <c r="AJ589" s="1438"/>
      <c r="AK589" s="1438"/>
      <c r="AZ589" s="3"/>
      <c r="BA589" s="3"/>
      <c r="BB589" s="3"/>
      <c r="BC589" s="3"/>
    </row>
    <row r="590" spans="1:55" ht="12.95" customHeight="1">
      <c r="A590" s="22"/>
      <c r="B590" t="s">
        <v>18</v>
      </c>
      <c r="H590" s="1371" t="s">
        <v>2741</v>
      </c>
      <c r="I590" s="1371"/>
      <c r="J590" s="1371"/>
      <c r="K590" s="1371"/>
      <c r="L590" s="1371"/>
      <c r="M590" s="1371"/>
      <c r="N590" s="1371"/>
      <c r="O590" s="1371"/>
      <c r="P590" s="1371"/>
      <c r="Q590" s="1371"/>
      <c r="R590" s="1371"/>
      <c r="T590" s="22"/>
      <c r="U590" t="s">
        <v>18</v>
      </c>
      <c r="AA590" s="1371" t="s">
        <v>2707</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t="str">
        <f>C560</f>
        <v>City of Woodland Promissory Note</v>
      </c>
      <c r="H593" s="1358"/>
      <c r="I593" s="1358"/>
      <c r="J593" s="1358"/>
      <c r="K593" s="1358"/>
      <c r="L593" s="1358"/>
      <c r="M593" s="1358"/>
      <c r="N593" s="1358"/>
      <c r="O593" s="1358"/>
      <c r="P593" s="1358"/>
      <c r="Q593" s="1358"/>
      <c r="R593" s="1358"/>
      <c r="T593" s="55" t="s">
        <v>457</v>
      </c>
      <c r="U593" t="s">
        <v>464</v>
      </c>
      <c r="Z593" s="1358" t="str">
        <f>C561</f>
        <v>Deferred Costs, Interest, and Fees during Construction</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t="str">
        <f>Z586</f>
        <v>300 First Street</v>
      </c>
      <c r="H594" s="1371"/>
      <c r="I594" s="1371"/>
      <c r="J594" s="1371"/>
      <c r="K594" s="1371"/>
      <c r="L594" s="1371"/>
      <c r="M594" s="1371"/>
      <c r="N594" s="1371"/>
      <c r="O594" s="1371"/>
      <c r="P594" s="1371"/>
      <c r="Q594" s="1371"/>
      <c r="R594" s="1371"/>
      <c r="S594"/>
      <c r="T594" s="22"/>
      <c r="U594" t="s">
        <v>85</v>
      </c>
      <c r="V594"/>
      <c r="W594"/>
      <c r="X594"/>
      <c r="Y594"/>
      <c r="Z594" s="1371" t="s">
        <v>2622</v>
      </c>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t="str">
        <f>Z587</f>
        <v>Woodland, CA 95695</v>
      </c>
      <c r="H595" s="1371"/>
      <c r="I595" s="1371"/>
      <c r="J595" s="1371"/>
      <c r="K595" s="1371"/>
      <c r="L595" s="1371"/>
      <c r="M595" s="1371"/>
      <c r="N595" s="1371"/>
      <c r="O595" s="1371"/>
      <c r="P595" s="1371"/>
      <c r="Q595" s="1371"/>
      <c r="R595" s="1371"/>
      <c r="S595"/>
      <c r="T595" s="22"/>
      <c r="U595" t="s">
        <v>581</v>
      </c>
      <c r="V595"/>
      <c r="W595"/>
      <c r="X595"/>
      <c r="Y595"/>
      <c r="Z595" s="1348" t="s">
        <v>2655</v>
      </c>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t="str">
        <f>Z588</f>
        <v>Ken Hiatt</v>
      </c>
      <c r="H596" s="1371"/>
      <c r="I596" s="1371"/>
      <c r="J596" s="1371"/>
      <c r="K596" s="1371"/>
      <c r="L596" s="1371"/>
      <c r="M596" s="1371"/>
      <c r="N596" s="1371"/>
      <c r="O596" s="1371"/>
      <c r="P596" s="1371"/>
      <c r="Q596" s="1371"/>
      <c r="R596" s="1371"/>
      <c r="S596"/>
      <c r="T596" s="22"/>
      <c r="U596" t="s">
        <v>17</v>
      </c>
      <c r="V596"/>
      <c r="W596"/>
      <c r="X596"/>
      <c r="Y596"/>
      <c r="Z596" s="1348" t="s">
        <v>2625</v>
      </c>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t="str">
        <f>Z589</f>
        <v>530-661-5802</v>
      </c>
      <c r="H597" s="1346"/>
      <c r="I597" s="1346"/>
      <c r="J597" s="1346"/>
      <c r="K597" s="1346"/>
      <c r="L597" s="1346"/>
      <c r="M597"/>
      <c r="N597"/>
      <c r="O597" s="33" t="s">
        <v>206</v>
      </c>
      <c r="P597" s="1438"/>
      <c r="Q597" s="1438"/>
      <c r="R597" s="1438"/>
      <c r="S597"/>
      <c r="T597" s="22"/>
      <c r="U597" t="s">
        <v>316</v>
      </c>
      <c r="V597"/>
      <c r="W597"/>
      <c r="X597"/>
      <c r="Y597"/>
      <c r="Z597" s="1346">
        <v>7604566000</v>
      </c>
      <c r="AA597" s="1346"/>
      <c r="AB597" s="1346"/>
      <c r="AC597" s="1346"/>
      <c r="AD597" s="1346"/>
      <c r="AE597" s="1346"/>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t="s">
        <v>2710</v>
      </c>
      <c r="I598" s="1371"/>
      <c r="J598" s="1371"/>
      <c r="K598" s="1371"/>
      <c r="L598" s="1371"/>
      <c r="M598" s="1371"/>
      <c r="N598" s="1371"/>
      <c r="O598" s="1371"/>
      <c r="P598" s="1371"/>
      <c r="Q598" s="1371"/>
      <c r="R598" s="1371"/>
      <c r="S598"/>
      <c r="T598" s="22"/>
      <c r="U598" t="s">
        <v>18</v>
      </c>
      <c r="V598"/>
      <c r="W598"/>
      <c r="X598"/>
      <c r="Y598"/>
      <c r="Z598"/>
      <c r="AA598" s="1371" t="s">
        <v>2711</v>
      </c>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546</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8"/>
      <c r="Q605" s="1438"/>
      <c r="R605" s="1438"/>
      <c r="S605"/>
      <c r="T605" s="22"/>
      <c r="U605" t="s">
        <v>316</v>
      </c>
      <c r="V605"/>
      <c r="W605"/>
      <c r="X605"/>
      <c r="Y605"/>
      <c r="Z605" s="1346"/>
      <c r="AA605" s="1346"/>
      <c r="AB605" s="1346"/>
      <c r="AC605" s="1346"/>
      <c r="AD605" s="1346"/>
      <c r="AE605" s="1346"/>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8"/>
      <c r="Q613" s="1438"/>
      <c r="R613" s="1438"/>
      <c r="U613" t="s">
        <v>316</v>
      </c>
      <c r="Z613" s="1346"/>
      <c r="AA613" s="1346"/>
      <c r="AB613" s="1346"/>
      <c r="AC613" s="1346"/>
      <c r="AD613" s="1346"/>
      <c r="AE613" s="1346"/>
      <c r="AH613" s="33" t="s">
        <v>206</v>
      </c>
      <c r="AI613" s="1438"/>
      <c r="AJ613" s="1438"/>
      <c r="AK613" s="1438"/>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3" t="s">
        <v>2105</v>
      </c>
      <c r="N624" s="1443"/>
      <c r="O624" s="1443"/>
      <c r="P624" s="1443"/>
      <c r="Q624" s="1443" t="s">
        <v>1854</v>
      </c>
      <c r="R624" s="1443"/>
      <c r="S624" s="1443"/>
      <c r="T624" s="1443" t="s">
        <v>1852</v>
      </c>
      <c r="U624" s="1443"/>
      <c r="V624" s="1443"/>
      <c r="W624" s="1702" t="s">
        <v>454</v>
      </c>
      <c r="X624" s="1702"/>
      <c r="Y624" s="1702"/>
      <c r="Z624" s="1432" t="s">
        <v>2134</v>
      </c>
      <c r="AA624" s="1432"/>
      <c r="AB624" s="1433"/>
      <c r="AC624" s="1683" t="s">
        <v>1677</v>
      </c>
      <c r="AD624" s="1684"/>
      <c r="AE624" s="1685"/>
      <c r="AF624" s="1673" t="s">
        <v>1932</v>
      </c>
      <c r="AG624" s="1432"/>
      <c r="AH624" s="1432"/>
      <c r="AI624" s="1432"/>
      <c r="AJ624" s="1433"/>
      <c r="AK624" s="1735" t="s">
        <v>1933</v>
      </c>
      <c r="AL624" s="1736"/>
      <c r="AM624" s="1736"/>
      <c r="AN624" s="1737"/>
      <c r="AO624" s="1443" t="s">
        <v>455</v>
      </c>
      <c r="AP624" s="1443"/>
      <c r="AQ624" s="1443"/>
      <c r="AR624" s="1443"/>
      <c r="AS624" s="1443"/>
      <c r="AU624" s="3"/>
      <c r="AZ624" s="3"/>
      <c r="BA624" s="3"/>
      <c r="BB624" s="3"/>
      <c r="BC624" s="3"/>
    </row>
    <row r="625" spans="2:157" ht="12.95"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8"/>
      <c r="AL625" s="1739"/>
      <c r="AM625" s="1739"/>
      <c r="AN625" s="1740"/>
      <c r="AO625" s="1443"/>
      <c r="AP625" s="1443"/>
      <c r="AQ625" s="1443"/>
      <c r="AR625" s="1443"/>
      <c r="AS625" s="1443"/>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1"/>
      <c r="AL626" s="1742"/>
      <c r="AM626" s="1742"/>
      <c r="AN626" s="1743"/>
      <c r="AO626" s="1443"/>
      <c r="AP626" s="1443"/>
      <c r="AQ626" s="1443"/>
      <c r="AR626" s="1443"/>
      <c r="AS626" s="1443"/>
      <c r="AT626" s="3"/>
      <c r="AU626" s="3"/>
      <c r="AZ626" s="3"/>
      <c r="BA626" s="3"/>
      <c r="BB626" s="3"/>
      <c r="BC626" s="3"/>
      <c r="BD626" s="3"/>
    </row>
    <row r="627" spans="2:157" ht="12.95" customHeight="1">
      <c r="B627" s="51" t="s">
        <v>112</v>
      </c>
      <c r="C627" s="1431" t="s">
        <v>2747</v>
      </c>
      <c r="D627" s="1431"/>
      <c r="E627" s="1431"/>
      <c r="F627" s="1431"/>
      <c r="G627" s="1431"/>
      <c r="H627" s="1431"/>
      <c r="I627" s="1431"/>
      <c r="J627" s="1431"/>
      <c r="K627" s="1431"/>
      <c r="L627" s="1431"/>
      <c r="M627" s="1619" t="s">
        <v>2121</v>
      </c>
      <c r="N627" s="1619"/>
      <c r="O627" s="1619"/>
      <c r="P627" s="1619"/>
      <c r="Q627" s="1426">
        <v>204</v>
      </c>
      <c r="R627" s="1426"/>
      <c r="S627" s="1427"/>
      <c r="T627" s="1425">
        <f>40*12</f>
        <v>480</v>
      </c>
      <c r="U627" s="1426"/>
      <c r="V627" s="1427"/>
      <c r="W627" s="1439">
        <v>5.7420000000000006E-2</v>
      </c>
      <c r="X627" s="1440"/>
      <c r="Y627" s="1441"/>
      <c r="Z627" s="1479" t="s">
        <v>2133</v>
      </c>
      <c r="AA627" s="1480"/>
      <c r="AB627" s="1481"/>
      <c r="AC627" s="1447">
        <v>1</v>
      </c>
      <c r="AD627" s="1448"/>
      <c r="AE627" s="1449"/>
      <c r="AF627" s="1476">
        <f>PMT(W627/12,T627,-AO627)*12</f>
        <v>855358.45754951029</v>
      </c>
      <c r="AG627" s="1477"/>
      <c r="AH627" s="1477"/>
      <c r="AI627" s="1477"/>
      <c r="AJ627" s="1478"/>
      <c r="AK627" s="1428"/>
      <c r="AL627" s="1429"/>
      <c r="AM627" s="1429"/>
      <c r="AN627" s="1430"/>
      <c r="AO627" s="1482">
        <v>13390000</v>
      </c>
      <c r="AP627" s="1482"/>
      <c r="AQ627" s="1482"/>
      <c r="AR627" s="1482"/>
      <c r="AS627" s="1482"/>
      <c r="AT627" s="3"/>
      <c r="AU627" s="3"/>
      <c r="AZ627" s="3"/>
      <c r="BA627" s="3"/>
      <c r="BB627" s="3"/>
      <c r="BC627" s="3"/>
      <c r="BD627" s="3"/>
    </row>
    <row r="628" spans="2:157" ht="12.95" customHeight="1">
      <c r="B628" s="52" t="s">
        <v>113</v>
      </c>
      <c r="C628" s="1431" t="s">
        <v>2703</v>
      </c>
      <c r="D628" s="1431"/>
      <c r="E628" s="1431"/>
      <c r="F628" s="1431"/>
      <c r="G628" s="1431"/>
      <c r="H628" s="1431"/>
      <c r="I628" s="1431"/>
      <c r="J628" s="1431"/>
      <c r="K628" s="1431"/>
      <c r="L628" s="1431"/>
      <c r="M628" s="1619" t="s">
        <v>2118</v>
      </c>
      <c r="N628" s="1619"/>
      <c r="O628" s="1619"/>
      <c r="P628" s="1619"/>
      <c r="Q628" s="1425"/>
      <c r="R628" s="1426"/>
      <c r="S628" s="1427"/>
      <c r="T628" s="1425">
        <f>55*12</f>
        <v>660</v>
      </c>
      <c r="U628" s="1426"/>
      <c r="V628" s="1427"/>
      <c r="W628" s="1439">
        <v>0.03</v>
      </c>
      <c r="X628" s="1440"/>
      <c r="Y628" s="1441"/>
      <c r="Z628" s="1479" t="s">
        <v>458</v>
      </c>
      <c r="AA628" s="1480"/>
      <c r="AB628" s="1481"/>
      <c r="AC628" s="1447">
        <v>2</v>
      </c>
      <c r="AD628" s="1448"/>
      <c r="AE628" s="1449"/>
      <c r="AF628" s="1476"/>
      <c r="AG628" s="1477"/>
      <c r="AH628" s="1477"/>
      <c r="AI628" s="1477"/>
      <c r="AJ628" s="1478"/>
      <c r="AK628" s="1428"/>
      <c r="AL628" s="1429"/>
      <c r="AM628" s="1429"/>
      <c r="AN628" s="1430"/>
      <c r="AO628" s="1467">
        <v>3360000</v>
      </c>
      <c r="AP628" s="1468"/>
      <c r="AQ628" s="1468"/>
      <c r="AR628" s="1468"/>
      <c r="AS628" s="1469"/>
      <c r="AT628" s="1148" t="str">
        <f>IF(AND(NOT(C627=""),C628="",NOT(C629="")),"!","")</f>
        <v/>
      </c>
      <c r="AU628" s="3"/>
      <c r="AZ628" s="3"/>
      <c r="BA628" s="3"/>
      <c r="BB628" s="3"/>
      <c r="BC628" s="3"/>
      <c r="BD628" s="3"/>
    </row>
    <row r="629" spans="2:157" ht="12.95" customHeight="1">
      <c r="B629" s="52" t="s">
        <v>119</v>
      </c>
      <c r="C629" s="1431" t="s">
        <v>2734</v>
      </c>
      <c r="D629" s="1431"/>
      <c r="E629" s="1431"/>
      <c r="F629" s="1431"/>
      <c r="G629" s="1431"/>
      <c r="H629" s="1431"/>
      <c r="I629" s="1431"/>
      <c r="J629" s="1431"/>
      <c r="K629" s="1431"/>
      <c r="L629" s="1431"/>
      <c r="M629" s="1619" t="s">
        <v>2117</v>
      </c>
      <c r="N629" s="1619"/>
      <c r="O629" s="1619"/>
      <c r="P629" s="1619"/>
      <c r="Q629" s="1425"/>
      <c r="R629" s="1426"/>
      <c r="S629" s="1427"/>
      <c r="T629" s="1425">
        <f>55*12</f>
        <v>660</v>
      </c>
      <c r="U629" s="1426"/>
      <c r="V629" s="1427"/>
      <c r="W629" s="1439">
        <v>0.03</v>
      </c>
      <c r="X629" s="1440"/>
      <c r="Y629" s="1441"/>
      <c r="Z629" s="1479" t="s">
        <v>458</v>
      </c>
      <c r="AA629" s="1480"/>
      <c r="AB629" s="1481"/>
      <c r="AC629" s="1447">
        <v>3</v>
      </c>
      <c r="AD629" s="1448"/>
      <c r="AE629" s="1449"/>
      <c r="AF629" s="1476"/>
      <c r="AG629" s="1477"/>
      <c r="AH629" s="1477"/>
      <c r="AI629" s="1477"/>
      <c r="AJ629" s="1478"/>
      <c r="AK629" s="1428"/>
      <c r="AL629" s="1429"/>
      <c r="AM629" s="1429"/>
      <c r="AN629" s="1430"/>
      <c r="AO629" s="1467">
        <v>1700000</v>
      </c>
      <c r="AP629" s="1468"/>
      <c r="AQ629" s="1468"/>
      <c r="AR629" s="1468"/>
      <c r="AS629" s="1469"/>
      <c r="AT629" s="1148" t="str">
        <f t="shared" ref="AT629:AT638" si="1">IF(AND(NOT(C628=""),C629="",NOT(C630="")),"!","")</f>
        <v/>
      </c>
      <c r="AU629" s="3"/>
      <c r="AZ629" s="3"/>
      <c r="BA629" s="3"/>
      <c r="BB629" s="3"/>
      <c r="BC629" s="3"/>
      <c r="BD629" s="3"/>
    </row>
    <row r="630" spans="2:157" ht="12.95" customHeight="1">
      <c r="B630" s="52" t="s">
        <v>582</v>
      </c>
      <c r="C630" s="1431" t="s">
        <v>2755</v>
      </c>
      <c r="D630" s="1347"/>
      <c r="E630" s="1347"/>
      <c r="F630" s="1347"/>
      <c r="G630" s="1347"/>
      <c r="H630" s="1347"/>
      <c r="I630" s="1347"/>
      <c r="J630" s="1347"/>
      <c r="K630" s="1347"/>
      <c r="L630" s="1347"/>
      <c r="M630" s="1619" t="s">
        <v>2117</v>
      </c>
      <c r="N630" s="1619"/>
      <c r="O630" s="1619"/>
      <c r="P630" s="1619"/>
      <c r="Q630" s="1425">
        <v>660</v>
      </c>
      <c r="R630" s="1426"/>
      <c r="S630" s="1427"/>
      <c r="T630" s="1425"/>
      <c r="U630" s="1426"/>
      <c r="V630" s="1427"/>
      <c r="W630" s="1439">
        <v>7.4999999999999997E-2</v>
      </c>
      <c r="X630" s="1440"/>
      <c r="Y630" s="1441"/>
      <c r="Z630" s="1479" t="s">
        <v>458</v>
      </c>
      <c r="AA630" s="1480"/>
      <c r="AB630" s="1481"/>
      <c r="AC630" s="1447">
        <v>4</v>
      </c>
      <c r="AD630" s="1448"/>
      <c r="AE630" s="1449"/>
      <c r="AF630" s="1476"/>
      <c r="AG630" s="1477"/>
      <c r="AH630" s="1477"/>
      <c r="AI630" s="1477"/>
      <c r="AJ630" s="1478"/>
      <c r="AK630" s="1428"/>
      <c r="AL630" s="1429"/>
      <c r="AM630" s="1429"/>
      <c r="AN630" s="1430"/>
      <c r="AO630" s="1467">
        <v>1400000</v>
      </c>
      <c r="AP630" s="1468"/>
      <c r="AQ630" s="1468"/>
      <c r="AR630" s="1468"/>
      <c r="AS630" s="1469"/>
      <c r="AT630" s="1148" t="str">
        <f t="shared" si="1"/>
        <v/>
      </c>
      <c r="AU630" s="3"/>
      <c r="AZ630" s="3"/>
      <c r="BA630" s="3"/>
      <c r="BB630" s="3"/>
      <c r="BC630" s="3"/>
      <c r="BD630" s="3"/>
    </row>
    <row r="631" spans="2:157" ht="12.95" customHeight="1">
      <c r="B631" s="52" t="s">
        <v>764</v>
      </c>
      <c r="C631" s="1431" t="s">
        <v>2714</v>
      </c>
      <c r="D631" s="1347"/>
      <c r="E631" s="1347"/>
      <c r="F631" s="1347"/>
      <c r="G631" s="1347"/>
      <c r="H631" s="1347"/>
      <c r="I631" s="1347"/>
      <c r="J631" s="1347"/>
      <c r="K631" s="1347"/>
      <c r="L631" s="1347"/>
      <c r="M631" s="1619" t="s">
        <v>1185</v>
      </c>
      <c r="N631" s="1619"/>
      <c r="O631" s="1619"/>
      <c r="P631" s="1619"/>
      <c r="Q631" s="1425">
        <v>180</v>
      </c>
      <c r="R631" s="1426"/>
      <c r="S631" s="1427"/>
      <c r="T631" s="1425"/>
      <c r="U631" s="1426"/>
      <c r="V631" s="1427"/>
      <c r="W631" s="1439">
        <v>0.03</v>
      </c>
      <c r="X631" s="1440"/>
      <c r="Y631" s="1441"/>
      <c r="Z631" s="1479" t="s">
        <v>459</v>
      </c>
      <c r="AA631" s="1480"/>
      <c r="AB631" s="1481"/>
      <c r="AC631" s="1447">
        <v>5</v>
      </c>
      <c r="AD631" s="1448"/>
      <c r="AE631" s="1449"/>
      <c r="AF631" s="1476"/>
      <c r="AG631" s="1477"/>
      <c r="AH631" s="1477"/>
      <c r="AI631" s="1477"/>
      <c r="AJ631" s="1478"/>
      <c r="AK631" s="1428"/>
      <c r="AL631" s="1429"/>
      <c r="AM631" s="1429"/>
      <c r="AN631" s="1430"/>
      <c r="AO631" s="1467">
        <v>3356511</v>
      </c>
      <c r="AP631" s="1468"/>
      <c r="AQ631" s="1468"/>
      <c r="AR631" s="1468"/>
      <c r="AS631" s="1469"/>
      <c r="AT631" s="1148" t="str">
        <f t="shared" si="1"/>
        <v/>
      </c>
      <c r="AU631" s="3"/>
      <c r="AZ631" s="3"/>
      <c r="BA631" s="3"/>
      <c r="BB631" s="3"/>
      <c r="BC631" s="3"/>
      <c r="BD631" s="3"/>
    </row>
    <row r="632" spans="2:157" ht="12.95" customHeight="1">
      <c r="B632" s="52" t="s">
        <v>585</v>
      </c>
      <c r="C632" s="1347" t="s">
        <v>2713</v>
      </c>
      <c r="D632" s="1347"/>
      <c r="E632" s="1347"/>
      <c r="F632" s="1347"/>
      <c r="G632" s="1347"/>
      <c r="H632" s="1347"/>
      <c r="I632" s="1347"/>
      <c r="J632" s="1347"/>
      <c r="K632" s="1347"/>
      <c r="L632" s="1347"/>
      <c r="M632" s="1619" t="s">
        <v>1185</v>
      </c>
      <c r="N632" s="1619"/>
      <c r="O632" s="1619"/>
      <c r="P632" s="1619"/>
      <c r="Q632" s="1425">
        <v>660</v>
      </c>
      <c r="R632" s="1426"/>
      <c r="S632" s="1427"/>
      <c r="T632" s="1425"/>
      <c r="U632" s="1426"/>
      <c r="V632" s="1427"/>
      <c r="W632" s="1439">
        <v>0.03</v>
      </c>
      <c r="X632" s="1440"/>
      <c r="Y632" s="1441"/>
      <c r="Z632" s="1479" t="s">
        <v>458</v>
      </c>
      <c r="AA632" s="1480"/>
      <c r="AB632" s="1481"/>
      <c r="AC632" s="1447">
        <v>6</v>
      </c>
      <c r="AD632" s="1448"/>
      <c r="AE632" s="1449"/>
      <c r="AF632" s="1476"/>
      <c r="AG632" s="1477"/>
      <c r="AH632" s="1477"/>
      <c r="AI632" s="1477"/>
      <c r="AJ632" s="1478"/>
      <c r="AK632" s="1428"/>
      <c r="AL632" s="1429"/>
      <c r="AM632" s="1429"/>
      <c r="AN632" s="1430"/>
      <c r="AO632" s="1467">
        <v>303600</v>
      </c>
      <c r="AP632" s="1468"/>
      <c r="AQ632" s="1468"/>
      <c r="AR632" s="1468"/>
      <c r="AS632" s="1469"/>
      <c r="AT632" s="1148" t="str">
        <f t="shared" si="1"/>
        <v/>
      </c>
      <c r="AU632" s="3"/>
      <c r="AZ632" s="3"/>
      <c r="BA632" s="3"/>
      <c r="BB632" s="3"/>
      <c r="BC632" s="3"/>
      <c r="BD632" s="3"/>
    </row>
    <row r="633" spans="2:157" ht="12.95" customHeight="1">
      <c r="B633" s="52" t="s">
        <v>456</v>
      </c>
      <c r="C633" s="1431" t="s">
        <v>2712</v>
      </c>
      <c r="D633" s="1347"/>
      <c r="E633" s="1347"/>
      <c r="F633" s="1347"/>
      <c r="G633" s="1347"/>
      <c r="H633" s="1347"/>
      <c r="I633" s="1347"/>
      <c r="J633" s="1347"/>
      <c r="K633" s="1347"/>
      <c r="L633" s="1347"/>
      <c r="M633" s="1619" t="s">
        <v>1185</v>
      </c>
      <c r="N633" s="1619"/>
      <c r="O633" s="1619"/>
      <c r="P633" s="1619"/>
      <c r="Q633" s="1425"/>
      <c r="R633" s="1426"/>
      <c r="S633" s="1427"/>
      <c r="T633" s="1425"/>
      <c r="U633" s="1426"/>
      <c r="V633" s="1427"/>
      <c r="W633" s="1439"/>
      <c r="X633" s="1440"/>
      <c r="Y633" s="1441"/>
      <c r="Z633" s="1479" t="s">
        <v>1185</v>
      </c>
      <c r="AA633" s="1480"/>
      <c r="AB633" s="1481"/>
      <c r="AC633" s="1447"/>
      <c r="AD633" s="1448"/>
      <c r="AE633" s="1449"/>
      <c r="AF633" s="1476"/>
      <c r="AG633" s="1477"/>
      <c r="AH633" s="1477"/>
      <c r="AI633" s="1477"/>
      <c r="AJ633" s="1478"/>
      <c r="AK633" s="1428"/>
      <c r="AL633" s="1429"/>
      <c r="AM633" s="1429"/>
      <c r="AN633" s="1430"/>
      <c r="AO633" s="1467">
        <v>142805</v>
      </c>
      <c r="AP633" s="1468"/>
      <c r="AQ633" s="1468"/>
      <c r="AR633" s="1468"/>
      <c r="AS633" s="1469"/>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9" t="s">
        <v>1185</v>
      </c>
      <c r="N634" s="1619"/>
      <c r="O634" s="1619"/>
      <c r="P634" s="1619"/>
      <c r="Q634" s="1425"/>
      <c r="R634" s="1426"/>
      <c r="S634" s="1427"/>
      <c r="T634" s="1425"/>
      <c r="U634" s="1426"/>
      <c r="V634" s="1427"/>
      <c r="W634" s="1439"/>
      <c r="X634" s="1440"/>
      <c r="Y634" s="1441"/>
      <c r="Z634" s="1479" t="s">
        <v>1185</v>
      </c>
      <c r="AA634" s="1480"/>
      <c r="AB634" s="1481"/>
      <c r="AC634" s="1447"/>
      <c r="AD634" s="1448"/>
      <c r="AE634" s="1449"/>
      <c r="AF634" s="1476"/>
      <c r="AG634" s="1477"/>
      <c r="AH634" s="1477"/>
      <c r="AI634" s="1477"/>
      <c r="AJ634" s="1478"/>
      <c r="AK634" s="1428"/>
      <c r="AL634" s="1429"/>
      <c r="AM634" s="1429"/>
      <c r="AN634" s="1430"/>
      <c r="AO634" s="1467"/>
      <c r="AP634" s="1468"/>
      <c r="AQ634" s="1468"/>
      <c r="AR634" s="1468"/>
      <c r="AS634" s="1469"/>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9" t="s">
        <v>1185</v>
      </c>
      <c r="N635" s="1619"/>
      <c r="O635" s="1619"/>
      <c r="P635" s="1619"/>
      <c r="Q635" s="1425"/>
      <c r="R635" s="1426"/>
      <c r="S635" s="1427"/>
      <c r="T635" s="1425"/>
      <c r="U635" s="1426"/>
      <c r="V635" s="1427"/>
      <c r="W635" s="1439"/>
      <c r="X635" s="1440"/>
      <c r="Y635" s="1441"/>
      <c r="Z635" s="1479" t="s">
        <v>1185</v>
      </c>
      <c r="AA635" s="1480"/>
      <c r="AB635" s="1481"/>
      <c r="AC635" s="1447"/>
      <c r="AD635" s="1448"/>
      <c r="AE635" s="1449"/>
      <c r="AF635" s="1476"/>
      <c r="AG635" s="1477"/>
      <c r="AH635" s="1477"/>
      <c r="AI635" s="1477"/>
      <c r="AJ635" s="1478"/>
      <c r="AK635" s="1428"/>
      <c r="AL635" s="1429"/>
      <c r="AM635" s="1429"/>
      <c r="AN635" s="1430"/>
      <c r="AO635" s="1467"/>
      <c r="AP635" s="1468"/>
      <c r="AQ635" s="1468"/>
      <c r="AR635" s="1468"/>
      <c r="AS635" s="146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39.928571428571423</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7"/>
      <c r="D636" s="1347"/>
      <c r="E636" s="1347"/>
      <c r="F636" s="1347"/>
      <c r="G636" s="1347"/>
      <c r="H636" s="1347"/>
      <c r="I636" s="1347"/>
      <c r="J636" s="1347"/>
      <c r="K636" s="1347"/>
      <c r="L636" s="1347"/>
      <c r="M636" s="1619" t="s">
        <v>1185</v>
      </c>
      <c r="N636" s="1619"/>
      <c r="O636" s="1619"/>
      <c r="P636" s="1619"/>
      <c r="Q636" s="1425"/>
      <c r="R636" s="1426"/>
      <c r="S636" s="1427"/>
      <c r="T636" s="1425"/>
      <c r="U636" s="1426"/>
      <c r="V636" s="1427"/>
      <c r="W636" s="1439"/>
      <c r="X636" s="1440"/>
      <c r="Y636" s="1441"/>
      <c r="Z636" s="1479" t="s">
        <v>1185</v>
      </c>
      <c r="AA636" s="1480"/>
      <c r="AB636" s="1481"/>
      <c r="AC636" s="1447"/>
      <c r="AD636" s="1448"/>
      <c r="AE636" s="1449"/>
      <c r="AF636" s="1476"/>
      <c r="AG636" s="1477"/>
      <c r="AH636" s="1477"/>
      <c r="AI636" s="1477"/>
      <c r="AJ636" s="1478"/>
      <c r="AK636" s="1428"/>
      <c r="AL636" s="1429"/>
      <c r="AM636" s="1429"/>
      <c r="AN636" s="1430"/>
      <c r="AO636" s="1467"/>
      <c r="AP636" s="1468"/>
      <c r="AQ636" s="1468"/>
      <c r="AR636" s="1468"/>
      <c r="AS636" s="146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73.714285714285708</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7"/>
      <c r="D637" s="1347"/>
      <c r="E637" s="1347"/>
      <c r="F637" s="1347"/>
      <c r="G637" s="1347"/>
      <c r="H637" s="1347"/>
      <c r="I637" s="1347"/>
      <c r="J637" s="1347"/>
      <c r="K637" s="1347"/>
      <c r="L637" s="1347"/>
      <c r="M637" s="1619" t="s">
        <v>1185</v>
      </c>
      <c r="N637" s="1619"/>
      <c r="O637" s="1619"/>
      <c r="P637" s="1619"/>
      <c r="Q637" s="1425"/>
      <c r="R637" s="1426"/>
      <c r="S637" s="1427"/>
      <c r="T637" s="1425"/>
      <c r="U637" s="1426"/>
      <c r="V637" s="1427"/>
      <c r="W637" s="1439"/>
      <c r="X637" s="1440"/>
      <c r="Y637" s="1441"/>
      <c r="Z637" s="1479" t="s">
        <v>1185</v>
      </c>
      <c r="AA637" s="1480"/>
      <c r="AB637" s="1481"/>
      <c r="AC637" s="1447"/>
      <c r="AD637" s="1448"/>
      <c r="AE637" s="1449"/>
      <c r="AF637" s="1476"/>
      <c r="AG637" s="1477"/>
      <c r="AH637" s="1477"/>
      <c r="AI637" s="1477"/>
      <c r="AJ637" s="1478"/>
      <c r="AK637" s="1428"/>
      <c r="AL637" s="1429"/>
      <c r="AM637" s="1429"/>
      <c r="AN637" s="1430"/>
      <c r="AO637" s="1467"/>
      <c r="AP637" s="1468"/>
      <c r="AQ637" s="1468"/>
      <c r="AR637" s="1468"/>
      <c r="AS637" s="146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f t="shared" si="3"/>
        <v>1086.8571428571429</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7"/>
      <c r="D638" s="1347"/>
      <c r="E638" s="1347"/>
      <c r="F638" s="1347"/>
      <c r="G638" s="1347"/>
      <c r="H638" s="1347"/>
      <c r="I638" s="1347"/>
      <c r="J638" s="1347"/>
      <c r="K638" s="1347"/>
      <c r="L638" s="1347"/>
      <c r="M638" s="1619" t="s">
        <v>1185</v>
      </c>
      <c r="N638" s="1619"/>
      <c r="O638" s="1619"/>
      <c r="P638" s="1619"/>
      <c r="Q638" s="1425"/>
      <c r="R638" s="1426"/>
      <c r="S638" s="1427"/>
      <c r="T638" s="1425"/>
      <c r="U638" s="1426"/>
      <c r="V638" s="1427"/>
      <c r="W638" s="1439"/>
      <c r="X638" s="1440"/>
      <c r="Y638" s="1441"/>
      <c r="Z638" s="1479" t="s">
        <v>1185</v>
      </c>
      <c r="AA638" s="1480"/>
      <c r="AB638" s="1481"/>
      <c r="AC638" s="1447"/>
      <c r="AD638" s="1448"/>
      <c r="AE638" s="1449"/>
      <c r="AF638" s="1476"/>
      <c r="AG638" s="1477"/>
      <c r="AH638" s="1477"/>
      <c r="AI638" s="1477"/>
      <c r="AJ638" s="1478"/>
      <c r="AK638" s="1428"/>
      <c r="AL638" s="1429"/>
      <c r="AM638" s="1429"/>
      <c r="AN638" s="1430"/>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f t="shared" si="4"/>
        <v>77.906976744186039</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23652916</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f t="shared" si="4"/>
        <v>143.83720930232559</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21228489</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f t="shared" si="4"/>
        <v>1166.5116279069769</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44881405</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f t="shared" si="5"/>
        <v>96.625</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f t="shared" si="5"/>
        <v>178.375</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464</v>
      </c>
      <c r="G643" s="1358" t="str">
        <f>C627</f>
        <v>Citi Community Capital</v>
      </c>
      <c r="H643" s="1358"/>
      <c r="I643" s="1358"/>
      <c r="J643" s="1358"/>
      <c r="K643" s="1358"/>
      <c r="L643" s="1358"/>
      <c r="M643" s="1358"/>
      <c r="N643" s="1358"/>
      <c r="O643" s="1358"/>
      <c r="P643" s="1358"/>
      <c r="Q643" s="1358"/>
      <c r="R643" s="1358"/>
      <c r="S643" s="8"/>
      <c r="T643" s="55" t="s">
        <v>113</v>
      </c>
      <c r="U643" t="s">
        <v>464</v>
      </c>
      <c r="Z643" s="1358" t="str">
        <f>C628</f>
        <v>City of Woodland Seller Note</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f t="shared" si="5"/>
        <v>1316.25</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1" t="s">
        <v>2730</v>
      </c>
      <c r="H644" s="1371"/>
      <c r="I644" s="1371"/>
      <c r="J644" s="1371"/>
      <c r="K644" s="1371"/>
      <c r="L644" s="1371"/>
      <c r="M644" s="1371"/>
      <c r="N644" s="1371"/>
      <c r="O644" s="1371"/>
      <c r="P644" s="1371"/>
      <c r="Q644" s="1371"/>
      <c r="R644" s="1371"/>
      <c r="S644" s="8"/>
      <c r="T644" s="22"/>
      <c r="U644" t="s">
        <v>85</v>
      </c>
      <c r="Z644" s="1371" t="s">
        <v>2709</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1" t="s">
        <v>2731</v>
      </c>
      <c r="H645" s="1371"/>
      <c r="I645" s="1371"/>
      <c r="J645" s="1371"/>
      <c r="K645" s="1371"/>
      <c r="L645" s="1371"/>
      <c r="M645" s="1371"/>
      <c r="N645" s="1371"/>
      <c r="O645" s="1371"/>
      <c r="P645" s="1371"/>
      <c r="Q645" s="1371"/>
      <c r="R645" s="1371"/>
      <c r="T645" s="22"/>
      <c r="U645" t="s">
        <v>581</v>
      </c>
      <c r="Z645" s="1348" t="s">
        <v>2708</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1" t="s">
        <v>2732</v>
      </c>
      <c r="H646" s="1371"/>
      <c r="I646" s="1371"/>
      <c r="J646" s="1371"/>
      <c r="K646" s="1371"/>
      <c r="L646" s="1371"/>
      <c r="M646" s="1371"/>
      <c r="N646" s="1371"/>
      <c r="O646" s="1371"/>
      <c r="P646" s="1371"/>
      <c r="Q646" s="1371"/>
      <c r="R646" s="1371"/>
      <c r="S646" s="8"/>
      <c r="T646" s="22"/>
      <c r="U646" t="s">
        <v>17</v>
      </c>
      <c r="Z646" s="1348" t="s">
        <v>2701</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6" t="str">
        <f>G572</f>
        <v>(213) 239-1914</v>
      </c>
      <c r="H647" s="1346"/>
      <c r="I647" s="1346"/>
      <c r="J647" s="1346"/>
      <c r="K647" s="1346"/>
      <c r="L647" s="1346"/>
      <c r="O647" s="33" t="s">
        <v>206</v>
      </c>
      <c r="P647" s="1438"/>
      <c r="Q647" s="1438"/>
      <c r="R647" s="1438"/>
      <c r="S647" s="10"/>
      <c r="T647" s="22"/>
      <c r="U647" t="s">
        <v>316</v>
      </c>
      <c r="Z647" s="1693" t="s">
        <v>2618</v>
      </c>
      <c r="AA647" s="1346"/>
      <c r="AB647" s="1346"/>
      <c r="AC647" s="1346"/>
      <c r="AD647" s="1346"/>
      <c r="AE647" s="1346"/>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1" t="s">
        <v>2733</v>
      </c>
      <c r="I648" s="1371"/>
      <c r="J648" s="1371"/>
      <c r="K648" s="1371"/>
      <c r="L648" s="1371"/>
      <c r="M648" s="1371"/>
      <c r="N648" s="1371"/>
      <c r="O648" s="1371"/>
      <c r="P648" s="1371"/>
      <c r="Q648" s="1371"/>
      <c r="R648" s="1371"/>
      <c r="S648" s="8"/>
      <c r="T648" s="22"/>
      <c r="U648" t="s">
        <v>18</v>
      </c>
      <c r="AA648" s="1371" t="s">
        <v>2707</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58" t="str">
        <f>C629</f>
        <v>City of Woodland Promissory Note</v>
      </c>
      <c r="H651" s="1358"/>
      <c r="I651" s="1358"/>
      <c r="J651" s="1358"/>
      <c r="K651" s="1358"/>
      <c r="L651" s="1358"/>
      <c r="M651" s="1358"/>
      <c r="N651" s="1358"/>
      <c r="O651" s="1358"/>
      <c r="P651" s="1358"/>
      <c r="Q651" s="1358"/>
      <c r="R651" s="1358"/>
      <c r="T651" s="55" t="s">
        <v>582</v>
      </c>
      <c r="U651" t="s">
        <v>464</v>
      </c>
      <c r="Z651" s="1358" t="str">
        <f>C630</f>
        <v>CIC Opportunities Fund VI</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1" t="str">
        <f>Z644</f>
        <v>300 First Street</v>
      </c>
      <c r="H652" s="1371"/>
      <c r="I652" s="1371"/>
      <c r="J652" s="1371"/>
      <c r="K652" s="1371"/>
      <c r="L652" s="1371"/>
      <c r="M652" s="1371"/>
      <c r="N652" s="1371"/>
      <c r="O652" s="1371"/>
      <c r="P652" s="1371"/>
      <c r="Q652" s="1371"/>
      <c r="R652" s="1371"/>
      <c r="T652" s="22"/>
      <c r="U652" t="s">
        <v>85</v>
      </c>
      <c r="Z652" s="1371" t="s">
        <v>2622</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348" t="str">
        <f>Z645</f>
        <v>Woodland, CA 95695</v>
      </c>
      <c r="H653" s="1348"/>
      <c r="I653" s="1348"/>
      <c r="J653" s="1348"/>
      <c r="K653" s="1348"/>
      <c r="L653" s="1348"/>
      <c r="M653" s="1348"/>
      <c r="N653" s="1348"/>
      <c r="O653" s="1348"/>
      <c r="P653" s="1348"/>
      <c r="Q653" s="1348"/>
      <c r="R653" s="1348"/>
      <c r="T653" s="22"/>
      <c r="U653" t="s">
        <v>581</v>
      </c>
      <c r="Z653" s="1348" t="s">
        <v>2655</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48" t="str">
        <f>Z646</f>
        <v>Ken Hiatt</v>
      </c>
      <c r="H654" s="1348"/>
      <c r="I654" s="1348"/>
      <c r="J654" s="1348"/>
      <c r="K654" s="1348"/>
      <c r="L654" s="1348"/>
      <c r="M654" s="1348"/>
      <c r="N654" s="1348"/>
      <c r="O654" s="1348"/>
      <c r="P654" s="1348"/>
      <c r="Q654" s="1348"/>
      <c r="R654" s="1348"/>
      <c r="T654" s="22"/>
      <c r="U654" t="s">
        <v>17</v>
      </c>
      <c r="Z654" s="1348" t="s">
        <v>2625</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6" t="str">
        <f>Z647</f>
        <v>530-661-5802</v>
      </c>
      <c r="H655" s="1346"/>
      <c r="I655" s="1346"/>
      <c r="J655" s="1346"/>
      <c r="K655" s="1346"/>
      <c r="L655" s="1346"/>
      <c r="O655" s="33" t="s">
        <v>206</v>
      </c>
      <c r="P655" s="1438"/>
      <c r="Q655" s="1438"/>
      <c r="R655" s="1438"/>
      <c r="T655" s="22"/>
      <c r="U655" t="s">
        <v>316</v>
      </c>
      <c r="Z655" s="1346">
        <v>7604566000</v>
      </c>
      <c r="AA655" s="1346"/>
      <c r="AB655" s="1346"/>
      <c r="AC655" s="1346"/>
      <c r="AD655" s="1346"/>
      <c r="AE655" s="1346"/>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1" t="s">
        <v>2715</v>
      </c>
      <c r="I656" s="1371"/>
      <c r="J656" s="1371"/>
      <c r="K656" s="1371"/>
      <c r="L656" s="1371"/>
      <c r="M656" s="1371"/>
      <c r="N656" s="1371"/>
      <c r="O656" s="1371"/>
      <c r="P656" s="1371"/>
      <c r="Q656" s="1371"/>
      <c r="R656" s="1371"/>
      <c r="T656" s="22"/>
      <c r="U656" t="s">
        <v>18</v>
      </c>
      <c r="AA656" s="1371" t="s">
        <v>2716</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58" t="str">
        <f>C631</f>
        <v>Deferred Developer Fees</v>
      </c>
      <c r="H659" s="1358"/>
      <c r="I659" s="1358"/>
      <c r="J659" s="1358"/>
      <c r="K659" s="1358"/>
      <c r="L659" s="1358"/>
      <c r="M659" s="1358"/>
      <c r="N659" s="1358"/>
      <c r="O659" s="1358"/>
      <c r="P659" s="1358"/>
      <c r="Q659" s="1358"/>
      <c r="R659" s="1358"/>
      <c r="T659" s="55" t="s">
        <v>585</v>
      </c>
      <c r="U659" t="s">
        <v>464</v>
      </c>
      <c r="Z659" s="1358" t="str">
        <f>C632</f>
        <v>RR loans accrued interest</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1" t="str">
        <f>Z652</f>
        <v>6339 Paseo Del Lago</v>
      </c>
      <c r="H660" s="1371"/>
      <c r="I660" s="1371"/>
      <c r="J660" s="1371"/>
      <c r="K660" s="1371"/>
      <c r="L660" s="1371"/>
      <c r="M660" s="1371"/>
      <c r="N660" s="1371"/>
      <c r="O660" s="1371"/>
      <c r="P660" s="1371"/>
      <c r="Q660" s="1371"/>
      <c r="R660" s="1371"/>
      <c r="T660" s="22"/>
      <c r="U660" t="s">
        <v>85</v>
      </c>
      <c r="Z660" s="1371" t="str">
        <f>Z644</f>
        <v>300 First Street</v>
      </c>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1" t="str">
        <f>Z653</f>
        <v>Carlsbad, CA 92011</v>
      </c>
      <c r="H661" s="1371"/>
      <c r="I661" s="1371"/>
      <c r="J661" s="1371"/>
      <c r="K661" s="1371"/>
      <c r="L661" s="1371"/>
      <c r="M661" s="1371"/>
      <c r="N661" s="1371"/>
      <c r="O661" s="1371"/>
      <c r="P661" s="1371"/>
      <c r="Q661" s="1371"/>
      <c r="R661" s="1371"/>
      <c r="T661" s="22"/>
      <c r="U661" t="s">
        <v>581</v>
      </c>
      <c r="Z661" s="1348" t="str">
        <f>Z645</f>
        <v>Woodland, CA 95695</v>
      </c>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1" t="str">
        <f>Z654</f>
        <v>Cheri Hoffman</v>
      </c>
      <c r="H662" s="1371"/>
      <c r="I662" s="1371"/>
      <c r="J662" s="1371"/>
      <c r="K662" s="1371"/>
      <c r="L662" s="1371"/>
      <c r="M662" s="1371"/>
      <c r="N662" s="1371"/>
      <c r="O662" s="1371"/>
      <c r="P662" s="1371"/>
      <c r="Q662" s="1371"/>
      <c r="R662" s="1371"/>
      <c r="T662" s="22"/>
      <c r="U662" t="s">
        <v>17</v>
      </c>
      <c r="Z662" s="1348" t="str">
        <f>Z646</f>
        <v>Ken Hiatt</v>
      </c>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6">
        <f>Z655</f>
        <v>7604566000</v>
      </c>
      <c r="H663" s="1346"/>
      <c r="I663" s="1346"/>
      <c r="J663" s="1346"/>
      <c r="K663" s="1346"/>
      <c r="L663" s="1346"/>
      <c r="O663" s="33" t="s">
        <v>206</v>
      </c>
      <c r="P663" s="1438"/>
      <c r="Q663" s="1438"/>
      <c r="R663" s="1438"/>
      <c r="T663" s="22"/>
      <c r="U663" t="s">
        <v>316</v>
      </c>
      <c r="Z663" s="1346" t="str">
        <f>Z647</f>
        <v>530-661-5802</v>
      </c>
      <c r="AA663" s="1346"/>
      <c r="AB663" s="1346"/>
      <c r="AC663" s="1346"/>
      <c r="AD663" s="1346"/>
      <c r="AE663" s="1346"/>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1" t="str">
        <f>AA598</f>
        <v>Defered Costs and Fees</v>
      </c>
      <c r="I664" s="1371"/>
      <c r="J664" s="1371"/>
      <c r="K664" s="1371"/>
      <c r="L664" s="1371"/>
      <c r="M664" s="1371"/>
      <c r="N664" s="1371"/>
      <c r="O664" s="1371"/>
      <c r="P664" s="1371"/>
      <c r="Q664" s="1371"/>
      <c r="R664" s="1371"/>
      <c r="T664" s="22"/>
      <c r="U664" t="s">
        <v>18</v>
      </c>
      <c r="AA664" s="1371" t="str">
        <f>H656</f>
        <v>Residual Receipts</v>
      </c>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58" t="str">
        <f>C633</f>
        <v>Solar Equity</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1" t="str">
        <f>G660</f>
        <v>6339 Paseo Del Lago</v>
      </c>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1" t="str">
        <f>G661</f>
        <v>Carlsbad, CA 92011</v>
      </c>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1" t="str">
        <f>G662</f>
        <v>Cheri Hoffman</v>
      </c>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1200.5</v>
      </c>
      <c r="ED670" s="1446"/>
      <c r="EE670" s="1446"/>
      <c r="EF670" s="1446"/>
      <c r="EG670" s="1446"/>
      <c r="EH670" s="1446">
        <f>SUMIF(EH635:EL669,"&gt;0")</f>
        <v>1388.2558139534885</v>
      </c>
      <c r="EI670" s="1446"/>
      <c r="EJ670" s="1446"/>
      <c r="EK670" s="1446"/>
      <c r="EL670" s="1446"/>
      <c r="EM670" s="1446">
        <f>SUMIF(EM635:EQ669,"&gt;0")</f>
        <v>1591.25</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6">
        <f>G663</f>
        <v>7604566000</v>
      </c>
      <c r="H671" s="1346"/>
      <c r="I671" s="1346"/>
      <c r="J671" s="1346"/>
      <c r="K671" s="1346"/>
      <c r="L671" s="1346"/>
      <c r="O671" s="33" t="s">
        <v>206</v>
      </c>
      <c r="P671" s="1438"/>
      <c r="Q671" s="1438"/>
      <c r="R671" s="1438"/>
      <c r="T671" s="22"/>
      <c r="U671" t="s">
        <v>316</v>
      </c>
      <c r="Z671" s="1346"/>
      <c r="AA671" s="1346"/>
      <c r="AB671" s="1346"/>
      <c r="AC671" s="1346"/>
      <c r="AD671" s="1346"/>
      <c r="AE671" s="1346"/>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t="s">
        <v>2712</v>
      </c>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546</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8"/>
      <c r="Q679" s="1438"/>
      <c r="R679" s="1438"/>
      <c r="T679" s="22"/>
      <c r="U679" t="s">
        <v>316</v>
      </c>
      <c r="Z679" s="1346"/>
      <c r="AA679" s="1346"/>
      <c r="AB679" s="1346"/>
      <c r="AC679" s="1346"/>
      <c r="AD679" s="1346"/>
      <c r="AE679" s="1346"/>
      <c r="AH679" s="33" t="s">
        <v>206</v>
      </c>
      <c r="AI679" s="1438"/>
      <c r="AJ679" s="1438"/>
      <c r="AK679" s="1438"/>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8"/>
      <c r="Q687" s="1438"/>
      <c r="R687" s="1438"/>
      <c r="U687" t="s">
        <v>316</v>
      </c>
      <c r="Z687" s="1346"/>
      <c r="AA687" s="1346"/>
      <c r="AB687" s="1346"/>
      <c r="AC687" s="1346"/>
      <c r="AD687" s="1346"/>
      <c r="AE687" s="1346"/>
      <c r="AH687" s="33" t="s">
        <v>206</v>
      </c>
      <c r="AI687" s="1438"/>
      <c r="AJ687" s="1438"/>
      <c r="AK687" s="1438"/>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46058</v>
      </c>
      <c r="AF698" s="1692"/>
      <c r="AG698" s="1692"/>
      <c r="AH698" s="1692"/>
      <c r="AI698" s="1692"/>
    </row>
    <row r="699" spans="1:67" ht="12.95" customHeight="1">
      <c r="B699" s="135"/>
      <c r="C699" s="135"/>
      <c r="D699" s="136" t="s">
        <v>436</v>
      </c>
      <c r="E699" s="135"/>
      <c r="F699" s="135"/>
      <c r="G699" s="135"/>
      <c r="H699" s="135"/>
      <c r="AE699" s="1662">
        <v>0.54095951552678467</v>
      </c>
      <c r="AF699" s="1662"/>
      <c r="AG699" s="1662"/>
      <c r="AH699" s="1662"/>
      <c r="AI699" s="1662"/>
    </row>
    <row r="700" spans="1:67" ht="12.95" customHeight="1">
      <c r="B700" s="135"/>
      <c r="C700" s="135"/>
      <c r="D700" s="136" t="s">
        <v>437</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1" t="s">
        <v>1680</v>
      </c>
      <c r="L714" s="1722"/>
      <c r="M714" s="1722"/>
      <c r="N714" s="1723"/>
      <c r="O714" s="1362" t="s">
        <v>448</v>
      </c>
      <c r="P714" s="1363"/>
      <c r="Q714" s="1363"/>
      <c r="R714" s="1363"/>
      <c r="S714" s="1364"/>
      <c r="T714" s="1660" t="s">
        <v>1951</v>
      </c>
      <c r="U714" s="1363"/>
      <c r="V714" s="1363"/>
      <c r="W714" s="1364"/>
      <c r="X714" s="1660" t="s">
        <v>1953</v>
      </c>
      <c r="Y714" s="1363"/>
      <c r="Z714" s="1363"/>
      <c r="AA714" s="1363"/>
      <c r="AB714" s="1364"/>
      <c r="AC714" s="1660" t="s">
        <v>1952</v>
      </c>
      <c r="AD714" s="1363"/>
      <c r="AE714" s="1363"/>
      <c r="AF714" s="1363"/>
      <c r="AG714" s="1364"/>
      <c r="AH714" s="1660" t="s">
        <v>1954</v>
      </c>
      <c r="AI714" s="1363"/>
      <c r="AJ714" s="1364"/>
      <c r="AK714" s="1660"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4"/>
      <c r="L715" s="1725"/>
      <c r="M715" s="1725"/>
      <c r="N715" s="1726"/>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4"/>
      <c r="L716" s="1725"/>
      <c r="M716" s="1725"/>
      <c r="N716" s="1726"/>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4"/>
      <c r="L717" s="1725"/>
      <c r="M717" s="1725"/>
      <c r="N717" s="1726"/>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6" t="s">
        <v>634</v>
      </c>
      <c r="CQ717" s="1387"/>
      <c r="CR717" s="1387"/>
      <c r="CS717" s="1387"/>
      <c r="CT717" s="1388"/>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5" customHeight="1">
      <c r="A718" s="4"/>
      <c r="B718" s="1337" t="s">
        <v>325</v>
      </c>
      <c r="C718" s="1338"/>
      <c r="D718" s="1338"/>
      <c r="E718" s="1338"/>
      <c r="F718" s="1339"/>
      <c r="G718" s="1349">
        <v>2</v>
      </c>
      <c r="H718" s="1350"/>
      <c r="I718" s="1350"/>
      <c r="J718" s="1351"/>
      <c r="K718" s="1343">
        <v>594</v>
      </c>
      <c r="L718" s="1344"/>
      <c r="M718" s="1344"/>
      <c r="N718" s="1345"/>
      <c r="O718" s="1340">
        <v>559</v>
      </c>
      <c r="P718" s="1341"/>
      <c r="Q718" s="1341"/>
      <c r="R718" s="1341"/>
      <c r="S718" s="1342"/>
      <c r="T718" s="1340">
        <v>149</v>
      </c>
      <c r="U718" s="1341"/>
      <c r="V718" s="1341"/>
      <c r="W718" s="1342"/>
      <c r="X718" s="1352">
        <f t="shared" ref="X718:X741" si="8">O718+T718</f>
        <v>708</v>
      </c>
      <c r="Y718" s="1353"/>
      <c r="Z718" s="1353"/>
      <c r="AA718" s="1353"/>
      <c r="AB718" s="1354"/>
      <c r="AC718" s="1359">
        <v>0.3</v>
      </c>
      <c r="AD718" s="1360"/>
      <c r="AE718" s="1360"/>
      <c r="AF718" s="1360"/>
      <c r="AG718" s="1361"/>
      <c r="AH718" s="1355">
        <f>IF($AC718&gt;0,($X718/$AZ718), "")</f>
        <v>0.29974597798475866</v>
      </c>
      <c r="AI718" s="1356"/>
      <c r="AJ718" s="1357"/>
      <c r="AK718" s="1337" t="s">
        <v>592</v>
      </c>
      <c r="AL718" s="1338"/>
      <c r="AM718" s="1338"/>
      <c r="AN718" s="1338"/>
      <c r="AO718" s="1339"/>
      <c r="AP718" s="3"/>
      <c r="AQ718" s="3"/>
      <c r="AR718" s="3"/>
      <c r="AS718" s="3"/>
      <c r="AZ718" s="118">
        <f t="shared" ref="AZ718:AZ752" si="9">IF($G718=0,"N/A",VLOOKUP($T$189,TC_Rent,(MATCH($B718,bedrooms,FALSE)),FALSE))</f>
        <v>2362</v>
      </c>
      <c r="BA718" s="3"/>
      <c r="BB718" s="3"/>
      <c r="BC718" s="3"/>
      <c r="BD718" s="3"/>
      <c r="BE718" s="204"/>
      <c r="BF718" s="293">
        <f t="shared" ref="BF718:BF752" si="10">G718</f>
        <v>2</v>
      </c>
      <c r="BG718" s="297">
        <f t="shared" ref="BG718:BG752" si="11">IF($BF$753=0,0,BF718/$BF$753)</f>
        <v>2.1052631578947368E-2</v>
      </c>
      <c r="BH718" s="298">
        <f t="shared" ref="BH718:BH752" si="12">IF(BG718=0,"",BG718*AC718)</f>
        <v>6.3157894736842104E-3</v>
      </c>
      <c r="BI718" s="3"/>
      <c r="BJ718" s="3"/>
      <c r="BK718" s="3"/>
      <c r="BL718" s="3"/>
      <c r="BM718" s="3"/>
      <c r="BN718" s="3"/>
      <c r="BS718" s="293">
        <f t="shared" ref="BS718:BS752" si="13">G718</f>
        <v>2</v>
      </c>
      <c r="BT718" s="297">
        <f t="shared" ref="BT718:BT752" si="14">IF($BS$753=0,0,BS718/$BS$753)</f>
        <v>2.1052631578947368E-2</v>
      </c>
      <c r="BU718" s="298">
        <f t="shared" ref="BU718:BU752" si="15">IF(BT718=0,"",BT718*AH718)</f>
        <v>6.310441641784393E-3</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2</v>
      </c>
      <c r="CN718" s="1471"/>
      <c r="CO718" s="3"/>
      <c r="CP718" s="1459">
        <f t="shared" ref="CP718:CP752" si="18">IF(B718="SRO/Studio",G718,0)</f>
        <v>0</v>
      </c>
      <c r="CQ718" s="1460"/>
      <c r="CR718" s="1460"/>
      <c r="CS718" s="1460"/>
      <c r="CT718" s="1461"/>
      <c r="CU718" s="1444">
        <f t="shared" ref="CU718:CU752" si="19">IF(B718="1 Bedroom",G718,0)</f>
        <v>2</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2</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t="str">
        <f t="shared" ref="EZ718:EZ752" si="30">IF(CP718&gt;0,O718,"")</f>
        <v/>
      </c>
      <c r="FA718" s="1466"/>
      <c r="FB718" s="1466"/>
      <c r="FC718" s="1466"/>
      <c r="FD718" s="1465"/>
      <c r="FE718" s="1464">
        <f t="shared" ref="FE718:FE752" si="31">IF(CU718&gt;0,O718,"")</f>
        <v>559</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2.95" customHeight="1">
      <c r="A719" s="4"/>
      <c r="B719" s="1337" t="s">
        <v>325</v>
      </c>
      <c r="C719" s="1338"/>
      <c r="D719" s="1338"/>
      <c r="E719" s="1338"/>
      <c r="F719" s="1339"/>
      <c r="G719" s="1349">
        <v>2</v>
      </c>
      <c r="H719" s="1350"/>
      <c r="I719" s="1350"/>
      <c r="J719" s="1351"/>
      <c r="K719" s="1343">
        <f>K718</f>
        <v>594</v>
      </c>
      <c r="L719" s="1344"/>
      <c r="M719" s="1344"/>
      <c r="N719" s="1345"/>
      <c r="O719" s="1340">
        <v>1032</v>
      </c>
      <c r="P719" s="1341"/>
      <c r="Q719" s="1341"/>
      <c r="R719" s="1341"/>
      <c r="S719" s="1342"/>
      <c r="T719" s="1340">
        <f>T718</f>
        <v>149</v>
      </c>
      <c r="U719" s="1341"/>
      <c r="V719" s="1341"/>
      <c r="W719" s="1342"/>
      <c r="X719" s="1352">
        <f t="shared" si="8"/>
        <v>1181</v>
      </c>
      <c r="Y719" s="1353"/>
      <c r="Z719" s="1353"/>
      <c r="AA719" s="1353"/>
      <c r="AB719" s="1354"/>
      <c r="AC719" s="1359">
        <v>0.5</v>
      </c>
      <c r="AD719" s="1360"/>
      <c r="AE719" s="1360"/>
      <c r="AF719" s="1360"/>
      <c r="AG719" s="1361"/>
      <c r="AH719" s="1355">
        <f t="shared" ref="AH719:AH752" si="36">IF($AC719&gt;0,($X719/$AZ719), "")</f>
        <v>0.5</v>
      </c>
      <c r="AI719" s="1356"/>
      <c r="AJ719" s="1357"/>
      <c r="AK719" s="1337" t="s">
        <v>592</v>
      </c>
      <c r="AL719" s="1338"/>
      <c r="AM719" s="1338"/>
      <c r="AN719" s="1338"/>
      <c r="AO719" s="1339"/>
      <c r="AP719" s="3"/>
      <c r="AQ719" s="3"/>
      <c r="AR719" s="3"/>
      <c r="AS719" s="3"/>
      <c r="AZ719" s="118">
        <f t="shared" si="9"/>
        <v>2362</v>
      </c>
      <c r="BA719" s="3"/>
      <c r="BB719" s="3"/>
      <c r="BC719" s="3"/>
      <c r="BD719" s="3"/>
      <c r="BE719" s="204"/>
      <c r="BF719" s="294">
        <f t="shared" si="10"/>
        <v>2</v>
      </c>
      <c r="BG719" s="297">
        <f t="shared" si="11"/>
        <v>2.1052631578947368E-2</v>
      </c>
      <c r="BH719" s="298">
        <f t="shared" si="12"/>
        <v>1.0526315789473684E-2</v>
      </c>
      <c r="BI719" s="3"/>
      <c r="BJ719" s="3"/>
      <c r="BK719" s="3"/>
      <c r="BL719" s="3"/>
      <c r="BM719" s="3"/>
      <c r="BN719" s="3"/>
      <c r="BS719" s="294">
        <f t="shared" si="13"/>
        <v>2</v>
      </c>
      <c r="BT719" s="297">
        <f t="shared" si="14"/>
        <v>2.1052631578947368E-2</v>
      </c>
      <c r="BU719" s="298">
        <f t="shared" si="15"/>
        <v>1.0526315789473684E-2</v>
      </c>
      <c r="CC719" s="3"/>
      <c r="CD719" s="3"/>
      <c r="CE719" s="3"/>
      <c r="CF719" s="3"/>
      <c r="CG719" s="1464">
        <f t="shared" ref="CG719:CG752" si="37">IF(AND(AC719&lt;=0.5,AC719&gt;=0.36),1,0)</f>
        <v>1</v>
      </c>
      <c r="CH719" s="1465"/>
      <c r="CI719" s="1470">
        <f t="shared" ref="CI719:CI752" si="38">IF(CG719=1,G719,0)</f>
        <v>2</v>
      </c>
      <c r="CJ719" s="1471"/>
      <c r="CK719" s="1464">
        <f t="shared" si="16"/>
        <v>0</v>
      </c>
      <c r="CL719" s="1465"/>
      <c r="CM719" s="1470">
        <f t="shared" si="17"/>
        <v>0</v>
      </c>
      <c r="CN719" s="1471"/>
      <c r="CO719" s="3"/>
      <c r="CP719" s="1459">
        <f t="shared" si="18"/>
        <v>0</v>
      </c>
      <c r="CQ719" s="1460"/>
      <c r="CR719" s="1460"/>
      <c r="CS719" s="1460"/>
      <c r="CT719" s="1461"/>
      <c r="CU719" s="1444">
        <f t="shared" si="19"/>
        <v>2</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t="str">
        <f t="shared" si="30"/>
        <v/>
      </c>
      <c r="FA719" s="1466"/>
      <c r="FB719" s="1466"/>
      <c r="FC719" s="1466"/>
      <c r="FD719" s="1465"/>
      <c r="FE719" s="1464">
        <f t="shared" si="31"/>
        <v>1032</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2.95" customHeight="1">
      <c r="A720" s="4"/>
      <c r="B720" s="1337" t="s">
        <v>325</v>
      </c>
      <c r="C720" s="1338"/>
      <c r="D720" s="1338"/>
      <c r="E720" s="1338"/>
      <c r="F720" s="1339"/>
      <c r="G720" s="1349">
        <v>24</v>
      </c>
      <c r="H720" s="1350"/>
      <c r="I720" s="1350"/>
      <c r="J720" s="1351"/>
      <c r="K720" s="1343">
        <f>K719</f>
        <v>594</v>
      </c>
      <c r="L720" s="1344"/>
      <c r="M720" s="1344"/>
      <c r="N720" s="1345"/>
      <c r="O720" s="1340">
        <v>1268</v>
      </c>
      <c r="P720" s="1341"/>
      <c r="Q720" s="1341"/>
      <c r="R720" s="1341"/>
      <c r="S720" s="1342"/>
      <c r="T720" s="1340">
        <f>T719</f>
        <v>149</v>
      </c>
      <c r="U720" s="1341"/>
      <c r="V720" s="1341"/>
      <c r="W720" s="1342"/>
      <c r="X720" s="1352">
        <f t="shared" si="8"/>
        <v>1417</v>
      </c>
      <c r="Y720" s="1353"/>
      <c r="Z720" s="1353"/>
      <c r="AA720" s="1353"/>
      <c r="AB720" s="1354"/>
      <c r="AC720" s="1359">
        <v>0.6</v>
      </c>
      <c r="AD720" s="1360"/>
      <c r="AE720" s="1360"/>
      <c r="AF720" s="1360"/>
      <c r="AG720" s="1361"/>
      <c r="AH720" s="1355">
        <f t="shared" si="36"/>
        <v>0.59991532599491959</v>
      </c>
      <c r="AI720" s="1356"/>
      <c r="AJ720" s="1357"/>
      <c r="AK720" s="1337" t="s">
        <v>592</v>
      </c>
      <c r="AL720" s="1338"/>
      <c r="AM720" s="1338"/>
      <c r="AN720" s="1338"/>
      <c r="AO720" s="1339"/>
      <c r="AP720" s="3"/>
      <c r="AQ720" s="3"/>
      <c r="AR720" s="3"/>
      <c r="AS720" s="3"/>
      <c r="AZ720" s="118">
        <f t="shared" si="9"/>
        <v>2362</v>
      </c>
      <c r="BA720" s="3"/>
      <c r="BB720" s="3"/>
      <c r="BC720" s="3"/>
      <c r="BD720" s="3"/>
      <c r="BE720" s="204"/>
      <c r="BF720" s="294">
        <f t="shared" si="10"/>
        <v>24</v>
      </c>
      <c r="BG720" s="297">
        <f t="shared" si="11"/>
        <v>0.25263157894736843</v>
      </c>
      <c r="BH720" s="298">
        <f t="shared" si="12"/>
        <v>0.15157894736842106</v>
      </c>
      <c r="BI720" s="3"/>
      <c r="BJ720" s="3"/>
      <c r="BK720" s="3"/>
      <c r="BL720" s="3"/>
      <c r="BM720" s="3"/>
      <c r="BN720" s="3"/>
      <c r="BS720" s="294">
        <f t="shared" si="13"/>
        <v>24</v>
      </c>
      <c r="BT720" s="297">
        <f t="shared" si="14"/>
        <v>0.25263157894736843</v>
      </c>
      <c r="BU720" s="298">
        <f t="shared" si="15"/>
        <v>0.1515575560408218</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0</v>
      </c>
      <c r="CQ720" s="1460"/>
      <c r="CR720" s="1460"/>
      <c r="CS720" s="1460"/>
      <c r="CT720" s="1461"/>
      <c r="CU720" s="1444">
        <f t="shared" si="19"/>
        <v>24</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t="str">
        <f t="shared" si="30"/>
        <v/>
      </c>
      <c r="FA720" s="1466"/>
      <c r="FB720" s="1466"/>
      <c r="FC720" s="1466"/>
      <c r="FD720" s="1465"/>
      <c r="FE720" s="1464">
        <f t="shared" si="31"/>
        <v>1268</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2.95" customHeight="1">
      <c r="B721" s="1337" t="s">
        <v>163</v>
      </c>
      <c r="C721" s="1338"/>
      <c r="D721" s="1338"/>
      <c r="E721" s="1338"/>
      <c r="F721" s="1339"/>
      <c r="G721" s="1349">
        <v>5</v>
      </c>
      <c r="H721" s="1350"/>
      <c r="I721" s="1350"/>
      <c r="J721" s="1351"/>
      <c r="K721" s="1343">
        <v>764</v>
      </c>
      <c r="L721" s="1344"/>
      <c r="M721" s="1344"/>
      <c r="N721" s="1345"/>
      <c r="O721" s="1340">
        <v>670</v>
      </c>
      <c r="P721" s="1341"/>
      <c r="Q721" s="1341"/>
      <c r="R721" s="1341"/>
      <c r="S721" s="1342"/>
      <c r="T721" s="1340">
        <v>179</v>
      </c>
      <c r="U721" s="1341"/>
      <c r="V721" s="1341"/>
      <c r="W721" s="1342"/>
      <c r="X721" s="1352">
        <f t="shared" si="8"/>
        <v>849</v>
      </c>
      <c r="Y721" s="1353"/>
      <c r="Z721" s="1353"/>
      <c r="AA721" s="1353"/>
      <c r="AB721" s="1354"/>
      <c r="AC721" s="1359">
        <v>0.3</v>
      </c>
      <c r="AD721" s="1360"/>
      <c r="AE721" s="1360"/>
      <c r="AF721" s="1360"/>
      <c r="AG721" s="1361"/>
      <c r="AH721" s="1355">
        <f t="shared" si="36"/>
        <v>0.29978813559322032</v>
      </c>
      <c r="AI721" s="1356"/>
      <c r="AJ721" s="1357"/>
      <c r="AK721" s="1337" t="s">
        <v>592</v>
      </c>
      <c r="AL721" s="1338"/>
      <c r="AM721" s="1338"/>
      <c r="AN721" s="1338"/>
      <c r="AO721" s="1339"/>
      <c r="AP721" s="3"/>
      <c r="AQ721" s="3"/>
      <c r="AR721" s="3"/>
      <c r="AS721" s="3"/>
      <c r="AY721" s="116"/>
      <c r="AZ721" s="118">
        <f t="shared" si="9"/>
        <v>2832</v>
      </c>
      <c r="BA721" s="3"/>
      <c r="BB721" s="3"/>
      <c r="BC721" s="3"/>
      <c r="BD721" s="3"/>
      <c r="BE721" s="204"/>
      <c r="BF721" s="294">
        <f t="shared" si="10"/>
        <v>5</v>
      </c>
      <c r="BG721" s="297">
        <f t="shared" si="11"/>
        <v>5.2631578947368418E-2</v>
      </c>
      <c r="BH721" s="298">
        <f t="shared" si="12"/>
        <v>1.5789473684210523E-2</v>
      </c>
      <c r="BI721" s="3"/>
      <c r="BJ721" s="3"/>
      <c r="BK721" s="3"/>
      <c r="BL721" s="3"/>
      <c r="BM721" s="3"/>
      <c r="BN721" s="3"/>
      <c r="BS721" s="294">
        <f t="shared" si="13"/>
        <v>5</v>
      </c>
      <c r="BT721" s="297">
        <f t="shared" si="14"/>
        <v>5.2631578947368418E-2</v>
      </c>
      <c r="BU721" s="298">
        <f t="shared" si="15"/>
        <v>1.5778322925958963E-2</v>
      </c>
      <c r="CC721" s="3"/>
      <c r="CD721" s="3"/>
      <c r="CE721" s="3"/>
      <c r="CF721" s="3"/>
      <c r="CG721" s="1464">
        <f t="shared" si="37"/>
        <v>0</v>
      </c>
      <c r="CH721" s="1465"/>
      <c r="CI721" s="1470">
        <f t="shared" si="38"/>
        <v>0</v>
      </c>
      <c r="CJ721" s="1471"/>
      <c r="CK721" s="1464">
        <f t="shared" si="16"/>
        <v>1</v>
      </c>
      <c r="CL721" s="1465"/>
      <c r="CM721" s="1470">
        <f t="shared" si="17"/>
        <v>5</v>
      </c>
      <c r="CN721" s="1471"/>
      <c r="CO721" s="3"/>
      <c r="CP721" s="1459">
        <f t="shared" si="18"/>
        <v>0</v>
      </c>
      <c r="CQ721" s="1460"/>
      <c r="CR721" s="1460"/>
      <c r="CS721" s="1460"/>
      <c r="CT721" s="1461"/>
      <c r="CU721" s="1444">
        <f t="shared" si="19"/>
        <v>0</v>
      </c>
      <c r="CV721" s="1444"/>
      <c r="CW721" s="1444"/>
      <c r="CX721" s="1444"/>
      <c r="CY721" s="1444"/>
      <c r="CZ721" s="1444">
        <f t="shared" si="20"/>
        <v>5</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5</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t="str">
        <f t="shared" si="31"/>
        <v/>
      </c>
      <c r="FF721" s="1466"/>
      <c r="FG721" s="1466"/>
      <c r="FH721" s="1466"/>
      <c r="FI721" s="1465"/>
      <c r="FJ721" s="1464">
        <f t="shared" si="32"/>
        <v>670</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2.95" customHeight="1">
      <c r="B722" s="1337" t="s">
        <v>163</v>
      </c>
      <c r="C722" s="1338"/>
      <c r="D722" s="1338"/>
      <c r="E722" s="1338"/>
      <c r="F722" s="1339"/>
      <c r="G722" s="1349">
        <v>5</v>
      </c>
      <c r="H722" s="1350"/>
      <c r="I722" s="1350"/>
      <c r="J722" s="1351"/>
      <c r="K722" s="1343">
        <f>K721</f>
        <v>764</v>
      </c>
      <c r="L722" s="1344"/>
      <c r="M722" s="1344"/>
      <c r="N722" s="1345"/>
      <c r="O722" s="1340">
        <v>1237</v>
      </c>
      <c r="P722" s="1341"/>
      <c r="Q722" s="1341"/>
      <c r="R722" s="1341"/>
      <c r="S722" s="1342"/>
      <c r="T722" s="1340">
        <f>T721</f>
        <v>179</v>
      </c>
      <c r="U722" s="1341"/>
      <c r="V722" s="1341"/>
      <c r="W722" s="1342"/>
      <c r="X722" s="1352">
        <f t="shared" si="8"/>
        <v>1416</v>
      </c>
      <c r="Y722" s="1353"/>
      <c r="Z722" s="1353"/>
      <c r="AA722" s="1353"/>
      <c r="AB722" s="1354"/>
      <c r="AC722" s="1359">
        <v>0.5</v>
      </c>
      <c r="AD722" s="1360"/>
      <c r="AE722" s="1360"/>
      <c r="AF722" s="1360"/>
      <c r="AG722" s="1361"/>
      <c r="AH722" s="1355">
        <f t="shared" si="36"/>
        <v>0.5</v>
      </c>
      <c r="AI722" s="1356"/>
      <c r="AJ722" s="1357"/>
      <c r="AK722" s="1337" t="s">
        <v>592</v>
      </c>
      <c r="AL722" s="1338"/>
      <c r="AM722" s="1338"/>
      <c r="AN722" s="1338"/>
      <c r="AO722" s="1339"/>
      <c r="AP722" s="3"/>
      <c r="AQ722" s="3"/>
      <c r="AR722" s="3"/>
      <c r="AS722" s="3"/>
      <c r="AY722" s="116"/>
      <c r="AZ722" s="118">
        <f t="shared" si="9"/>
        <v>2832</v>
      </c>
      <c r="BA722" s="3"/>
      <c r="BB722" s="3"/>
      <c r="BC722" s="3"/>
      <c r="BD722" s="3"/>
      <c r="BE722" s="204"/>
      <c r="BF722" s="294">
        <f t="shared" si="10"/>
        <v>5</v>
      </c>
      <c r="BG722" s="297">
        <f t="shared" si="11"/>
        <v>5.2631578947368418E-2</v>
      </c>
      <c r="BH722" s="298">
        <f t="shared" si="12"/>
        <v>2.6315789473684209E-2</v>
      </c>
      <c r="BI722" s="3"/>
      <c r="BJ722" s="3"/>
      <c r="BK722" s="3"/>
      <c r="BL722" s="3"/>
      <c r="BM722" s="3"/>
      <c r="BN722" s="3"/>
      <c r="BS722" s="294">
        <f t="shared" si="13"/>
        <v>5</v>
      </c>
      <c r="BT722" s="297">
        <f t="shared" si="14"/>
        <v>5.2631578947368418E-2</v>
      </c>
      <c r="BU722" s="298">
        <f t="shared" si="15"/>
        <v>2.6315789473684209E-2</v>
      </c>
      <c r="CC722" s="3"/>
      <c r="CD722" s="3"/>
      <c r="CE722" s="3"/>
      <c r="CF722" s="3"/>
      <c r="CG722" s="1464">
        <f t="shared" si="37"/>
        <v>1</v>
      </c>
      <c r="CH722" s="1465"/>
      <c r="CI722" s="1470">
        <f t="shared" si="38"/>
        <v>5</v>
      </c>
      <c r="CJ722" s="1471"/>
      <c r="CK722" s="1464">
        <f t="shared" si="16"/>
        <v>0</v>
      </c>
      <c r="CL722" s="1465"/>
      <c r="CM722" s="1470">
        <f t="shared" si="17"/>
        <v>0</v>
      </c>
      <c r="CN722" s="1471"/>
      <c r="CO722" s="3"/>
      <c r="CP722" s="1459">
        <f t="shared" si="18"/>
        <v>0</v>
      </c>
      <c r="CQ722" s="1460"/>
      <c r="CR722" s="1460"/>
      <c r="CS722" s="1460"/>
      <c r="CT722" s="1461"/>
      <c r="CU722" s="1444">
        <f t="shared" si="19"/>
        <v>0</v>
      </c>
      <c r="CV722" s="1444"/>
      <c r="CW722" s="1444"/>
      <c r="CX722" s="1444"/>
      <c r="CY722" s="1444"/>
      <c r="CZ722" s="1444">
        <f t="shared" si="20"/>
        <v>5</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t="str">
        <f t="shared" si="31"/>
        <v/>
      </c>
      <c r="FF722" s="1466"/>
      <c r="FG722" s="1466"/>
      <c r="FH722" s="1466"/>
      <c r="FI722" s="1465"/>
      <c r="FJ722" s="1464">
        <f t="shared" si="32"/>
        <v>1237</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2.95" customHeight="1">
      <c r="B723" s="1337" t="s">
        <v>163</v>
      </c>
      <c r="C723" s="1338"/>
      <c r="D723" s="1338"/>
      <c r="E723" s="1338"/>
      <c r="F723" s="1339"/>
      <c r="G723" s="1349">
        <v>33</v>
      </c>
      <c r="H723" s="1350"/>
      <c r="I723" s="1350"/>
      <c r="J723" s="1351"/>
      <c r="K723" s="1343">
        <f>K722</f>
        <v>764</v>
      </c>
      <c r="L723" s="1344"/>
      <c r="M723" s="1344"/>
      <c r="N723" s="1345"/>
      <c r="O723" s="1340">
        <v>1520</v>
      </c>
      <c r="P723" s="1341"/>
      <c r="Q723" s="1341"/>
      <c r="R723" s="1341"/>
      <c r="S723" s="1342"/>
      <c r="T723" s="1340">
        <f>T722</f>
        <v>179</v>
      </c>
      <c r="U723" s="1341"/>
      <c r="V723" s="1341"/>
      <c r="W723" s="1342"/>
      <c r="X723" s="1352">
        <f t="shared" si="8"/>
        <v>1699</v>
      </c>
      <c r="Y723" s="1353"/>
      <c r="Z723" s="1353"/>
      <c r="AA723" s="1353"/>
      <c r="AB723" s="1354"/>
      <c r="AC723" s="1359">
        <v>0.6</v>
      </c>
      <c r="AD723" s="1360"/>
      <c r="AE723" s="1360"/>
      <c r="AF723" s="1360"/>
      <c r="AG723" s="1361"/>
      <c r="AH723" s="1355">
        <f t="shared" si="36"/>
        <v>0.59992937853107342</v>
      </c>
      <c r="AI723" s="1356"/>
      <c r="AJ723" s="1357"/>
      <c r="AK723" s="1337" t="s">
        <v>592</v>
      </c>
      <c r="AL723" s="1338"/>
      <c r="AM723" s="1338"/>
      <c r="AN723" s="1338"/>
      <c r="AO723" s="1339"/>
      <c r="AP723" s="3"/>
      <c r="AQ723" s="3"/>
      <c r="AR723" s="3"/>
      <c r="AS723" s="3"/>
      <c r="AY723" s="116"/>
      <c r="AZ723" s="118">
        <f t="shared" si="9"/>
        <v>2832</v>
      </c>
      <c r="BA723" s="3"/>
      <c r="BB723" s="3"/>
      <c r="BC723" s="3"/>
      <c r="BD723" s="3"/>
      <c r="BE723" s="204"/>
      <c r="BF723" s="294">
        <f t="shared" si="10"/>
        <v>33</v>
      </c>
      <c r="BG723" s="297">
        <f t="shared" si="11"/>
        <v>0.3473684210526316</v>
      </c>
      <c r="BH723" s="298">
        <f t="shared" si="12"/>
        <v>0.20842105263157895</v>
      </c>
      <c r="BI723" s="3"/>
      <c r="BJ723" s="3"/>
      <c r="BK723" s="3"/>
      <c r="BL723" s="3"/>
      <c r="BM723" s="3"/>
      <c r="BN723" s="3"/>
      <c r="BS723" s="294">
        <f t="shared" si="13"/>
        <v>33</v>
      </c>
      <c r="BT723" s="297">
        <f t="shared" si="14"/>
        <v>0.3473684210526316</v>
      </c>
      <c r="BU723" s="298">
        <f t="shared" si="15"/>
        <v>0.20839652096342551</v>
      </c>
      <c r="CC723" s="3"/>
      <c r="CD723" s="3"/>
      <c r="CE723" s="3"/>
      <c r="CF723" s="3"/>
      <c r="CG723" s="1464">
        <f t="shared" si="37"/>
        <v>0</v>
      </c>
      <c r="CH723" s="1465"/>
      <c r="CI723" s="1470">
        <f t="shared" si="38"/>
        <v>0</v>
      </c>
      <c r="CJ723" s="1471"/>
      <c r="CK723" s="1464">
        <f t="shared" si="16"/>
        <v>0</v>
      </c>
      <c r="CL723" s="1465"/>
      <c r="CM723" s="1470">
        <f t="shared" si="17"/>
        <v>0</v>
      </c>
      <c r="CN723" s="1471"/>
      <c r="CO723" s="3"/>
      <c r="CP723" s="1459">
        <f t="shared" si="18"/>
        <v>0</v>
      </c>
      <c r="CQ723" s="1460"/>
      <c r="CR723" s="1460"/>
      <c r="CS723" s="1460"/>
      <c r="CT723" s="1461"/>
      <c r="CU723" s="1444">
        <f t="shared" si="19"/>
        <v>0</v>
      </c>
      <c r="CV723" s="1444"/>
      <c r="CW723" s="1444"/>
      <c r="CX723" s="1444"/>
      <c r="CY723" s="1444"/>
      <c r="CZ723" s="1444">
        <f t="shared" si="20"/>
        <v>33</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t="str">
        <f t="shared" si="31"/>
        <v/>
      </c>
      <c r="FF723" s="1466"/>
      <c r="FG723" s="1466"/>
      <c r="FH723" s="1466"/>
      <c r="FI723" s="1465"/>
      <c r="FJ723" s="1464">
        <f t="shared" si="32"/>
        <v>1520</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2.95" customHeight="1">
      <c r="B724" s="1337" t="s">
        <v>164</v>
      </c>
      <c r="C724" s="1338"/>
      <c r="D724" s="1338"/>
      <c r="E724" s="1338"/>
      <c r="F724" s="1339"/>
      <c r="G724" s="1349">
        <v>3</v>
      </c>
      <c r="H724" s="1350"/>
      <c r="I724" s="1350"/>
      <c r="J724" s="1351"/>
      <c r="K724" s="1343">
        <v>945</v>
      </c>
      <c r="L724" s="1344"/>
      <c r="M724" s="1344"/>
      <c r="N724" s="1345"/>
      <c r="O724" s="1340">
        <v>773</v>
      </c>
      <c r="P724" s="1341"/>
      <c r="Q724" s="1341"/>
      <c r="R724" s="1341"/>
      <c r="S724" s="1342"/>
      <c r="T724" s="1340">
        <v>209</v>
      </c>
      <c r="U724" s="1341"/>
      <c r="V724" s="1341"/>
      <c r="W724" s="1342"/>
      <c r="X724" s="1352">
        <f t="shared" si="8"/>
        <v>982</v>
      </c>
      <c r="Y724" s="1353"/>
      <c r="Z724" s="1353"/>
      <c r="AA724" s="1353"/>
      <c r="AB724" s="1354"/>
      <c r="AC724" s="1359">
        <v>0.3</v>
      </c>
      <c r="AD724" s="1360"/>
      <c r="AE724" s="1360"/>
      <c r="AF724" s="1360"/>
      <c r="AG724" s="1361"/>
      <c r="AH724" s="1355">
        <f t="shared" si="36"/>
        <v>0.30012224938875304</v>
      </c>
      <c r="AI724" s="1356"/>
      <c r="AJ724" s="1357"/>
      <c r="AK724" s="1337" t="s">
        <v>592</v>
      </c>
      <c r="AL724" s="1338"/>
      <c r="AM724" s="1338"/>
      <c r="AN724" s="1338"/>
      <c r="AO724" s="1339"/>
      <c r="AP724" s="3"/>
      <c r="AQ724" s="3"/>
      <c r="AR724" s="3"/>
      <c r="AS724" s="3"/>
      <c r="AY724" s="116"/>
      <c r="AZ724" s="118">
        <f t="shared" si="9"/>
        <v>3272</v>
      </c>
      <c r="BA724" s="3"/>
      <c r="BB724" s="3"/>
      <c r="BC724" s="3"/>
      <c r="BD724" s="3"/>
      <c r="BE724" s="204"/>
      <c r="BF724" s="294">
        <f t="shared" si="10"/>
        <v>3</v>
      </c>
      <c r="BG724" s="297">
        <f t="shared" si="11"/>
        <v>3.1578947368421054E-2</v>
      </c>
      <c r="BH724" s="298">
        <f t="shared" si="12"/>
        <v>9.4736842105263164E-3</v>
      </c>
      <c r="BI724" s="3"/>
      <c r="BJ724" s="3"/>
      <c r="BK724" s="3"/>
      <c r="BL724" s="3"/>
      <c r="BM724" s="3"/>
      <c r="BN724" s="3"/>
      <c r="BS724" s="294">
        <f t="shared" si="13"/>
        <v>3</v>
      </c>
      <c r="BT724" s="297">
        <f t="shared" si="14"/>
        <v>3.1578947368421054E-2</v>
      </c>
      <c r="BU724" s="298">
        <f t="shared" si="15"/>
        <v>9.4775447175395704E-3</v>
      </c>
      <c r="CC724" s="3"/>
      <c r="CE724" s="3"/>
      <c r="CF724" s="3"/>
      <c r="CG724" s="1464">
        <f t="shared" si="37"/>
        <v>0</v>
      </c>
      <c r="CH724" s="1465"/>
      <c r="CI724" s="1470">
        <f t="shared" si="38"/>
        <v>0</v>
      </c>
      <c r="CJ724" s="1471"/>
      <c r="CK724" s="1464">
        <f t="shared" si="16"/>
        <v>1</v>
      </c>
      <c r="CL724" s="1465"/>
      <c r="CM724" s="1470">
        <f t="shared" si="17"/>
        <v>3</v>
      </c>
      <c r="CN724" s="1471"/>
      <c r="CO724" s="3"/>
      <c r="CP724" s="1459">
        <f t="shared" si="18"/>
        <v>0</v>
      </c>
      <c r="CQ724" s="1460"/>
      <c r="CR724" s="1460"/>
      <c r="CS724" s="1460"/>
      <c r="CT724" s="1461"/>
      <c r="CU724" s="1444">
        <f t="shared" si="19"/>
        <v>0</v>
      </c>
      <c r="CV724" s="1444"/>
      <c r="CW724" s="1444"/>
      <c r="CX724" s="1444"/>
      <c r="CY724" s="1444"/>
      <c r="CZ724" s="1444">
        <f t="shared" si="20"/>
        <v>0</v>
      </c>
      <c r="DA724" s="1444"/>
      <c r="DB724" s="1444"/>
      <c r="DC724" s="1444"/>
      <c r="DD724" s="1444"/>
      <c r="DE724" s="1444">
        <f t="shared" si="21"/>
        <v>3</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3</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t="str">
        <f t="shared" si="31"/>
        <v/>
      </c>
      <c r="FF724" s="1466"/>
      <c r="FG724" s="1466"/>
      <c r="FH724" s="1466"/>
      <c r="FI724" s="1465"/>
      <c r="FJ724" s="1464" t="str">
        <f t="shared" si="32"/>
        <v/>
      </c>
      <c r="FK724" s="1466"/>
      <c r="FL724" s="1466"/>
      <c r="FM724" s="1466"/>
      <c r="FN724" s="1465"/>
      <c r="FO724" s="1464">
        <f t="shared" si="33"/>
        <v>773</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2.95" customHeight="1">
      <c r="B725" s="1337" t="s">
        <v>164</v>
      </c>
      <c r="C725" s="1338"/>
      <c r="D725" s="1338"/>
      <c r="E725" s="1338"/>
      <c r="F725" s="1339"/>
      <c r="G725" s="1349">
        <v>3</v>
      </c>
      <c r="H725" s="1350"/>
      <c r="I725" s="1350"/>
      <c r="J725" s="1351"/>
      <c r="K725" s="1343">
        <f>K724</f>
        <v>945</v>
      </c>
      <c r="L725" s="1344"/>
      <c r="M725" s="1344"/>
      <c r="N725" s="1345"/>
      <c r="O725" s="1340">
        <v>1427</v>
      </c>
      <c r="P725" s="1341"/>
      <c r="Q725" s="1341"/>
      <c r="R725" s="1341"/>
      <c r="S725" s="1342"/>
      <c r="T725" s="1340">
        <f>T724</f>
        <v>209</v>
      </c>
      <c r="U725" s="1341"/>
      <c r="V725" s="1341"/>
      <c r="W725" s="1342"/>
      <c r="X725" s="1352">
        <f t="shared" si="8"/>
        <v>1636</v>
      </c>
      <c r="Y725" s="1353"/>
      <c r="Z725" s="1353"/>
      <c r="AA725" s="1353"/>
      <c r="AB725" s="1354"/>
      <c r="AC725" s="1359">
        <v>0.5</v>
      </c>
      <c r="AD725" s="1360"/>
      <c r="AE725" s="1360"/>
      <c r="AF725" s="1360"/>
      <c r="AG725" s="1361"/>
      <c r="AH725" s="1355">
        <f t="shared" si="36"/>
        <v>0.5</v>
      </c>
      <c r="AI725" s="1356"/>
      <c r="AJ725" s="1357"/>
      <c r="AK725" s="1337" t="s">
        <v>592</v>
      </c>
      <c r="AL725" s="1338"/>
      <c r="AM725" s="1338"/>
      <c r="AN725" s="1338"/>
      <c r="AO725" s="1339"/>
      <c r="AP725" s="3"/>
      <c r="AQ725" s="3"/>
      <c r="AR725" s="3"/>
      <c r="AS725" s="3"/>
      <c r="AY725" s="1085"/>
      <c r="AZ725" s="118">
        <f t="shared" si="9"/>
        <v>3272</v>
      </c>
      <c r="BA725" s="3"/>
      <c r="BB725" s="3"/>
      <c r="BC725" s="3"/>
      <c r="BD725" s="3"/>
      <c r="BE725" s="204"/>
      <c r="BF725" s="294">
        <f t="shared" si="10"/>
        <v>3</v>
      </c>
      <c r="BG725" s="297">
        <f t="shared" si="11"/>
        <v>3.1578947368421054E-2</v>
      </c>
      <c r="BH725" s="298">
        <f t="shared" si="12"/>
        <v>1.5789473684210527E-2</v>
      </c>
      <c r="BI725" s="3"/>
      <c r="BJ725" s="3"/>
      <c r="BK725" s="3"/>
      <c r="BL725" s="3"/>
      <c r="BM725" s="3"/>
      <c r="BN725" s="3"/>
      <c r="BS725" s="294">
        <f t="shared" si="13"/>
        <v>3</v>
      </c>
      <c r="BT725" s="297">
        <f t="shared" si="14"/>
        <v>3.1578947368421054E-2</v>
      </c>
      <c r="BU725" s="298">
        <f t="shared" si="15"/>
        <v>1.5789473684210527E-2</v>
      </c>
      <c r="BV725" s="292"/>
      <c r="BW725" s="3"/>
      <c r="BX725" s="3"/>
      <c r="BY725" s="3"/>
      <c r="BZ725" s="3"/>
      <c r="CA725" s="3"/>
      <c r="CB725" s="3"/>
      <c r="CC725" s="3"/>
      <c r="CE725" s="3"/>
      <c r="CF725" s="3"/>
      <c r="CG725" s="1464">
        <f t="shared" si="37"/>
        <v>1</v>
      </c>
      <c r="CH725" s="1465"/>
      <c r="CI725" s="1470">
        <f t="shared" si="38"/>
        <v>3</v>
      </c>
      <c r="CJ725" s="1471"/>
      <c r="CK725" s="1464">
        <f t="shared" si="16"/>
        <v>0</v>
      </c>
      <c r="CL725" s="1465"/>
      <c r="CM725" s="1470">
        <f t="shared" si="17"/>
        <v>0</v>
      </c>
      <c r="CN725" s="1471"/>
      <c r="CO725" s="3"/>
      <c r="CP725" s="1459">
        <f t="shared" si="18"/>
        <v>0</v>
      </c>
      <c r="CQ725" s="1460"/>
      <c r="CR725" s="1460"/>
      <c r="CS725" s="1460"/>
      <c r="CT725" s="1461"/>
      <c r="CU725" s="1444">
        <f t="shared" si="19"/>
        <v>0</v>
      </c>
      <c r="CV725" s="1444"/>
      <c r="CW725" s="1444"/>
      <c r="CX725" s="1444"/>
      <c r="CY725" s="1444"/>
      <c r="CZ725" s="1444">
        <f t="shared" si="20"/>
        <v>0</v>
      </c>
      <c r="DA725" s="1444"/>
      <c r="DB725" s="1444"/>
      <c r="DC725" s="1444"/>
      <c r="DD725" s="1444"/>
      <c r="DE725" s="1444">
        <f t="shared" si="21"/>
        <v>3</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t="str">
        <f t="shared" si="31"/>
        <v/>
      </c>
      <c r="FF725" s="1466"/>
      <c r="FG725" s="1466"/>
      <c r="FH725" s="1466"/>
      <c r="FI725" s="1465"/>
      <c r="FJ725" s="1464" t="str">
        <f t="shared" si="32"/>
        <v/>
      </c>
      <c r="FK725" s="1466"/>
      <c r="FL725" s="1466"/>
      <c r="FM725" s="1466"/>
      <c r="FN725" s="1465"/>
      <c r="FO725" s="1464">
        <f t="shared" si="33"/>
        <v>1427</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2.95" customHeight="1">
      <c r="B726" s="1337" t="s">
        <v>164</v>
      </c>
      <c r="C726" s="1338"/>
      <c r="D726" s="1338"/>
      <c r="E726" s="1338"/>
      <c r="F726" s="1339"/>
      <c r="G726" s="1349">
        <v>18</v>
      </c>
      <c r="H726" s="1350"/>
      <c r="I726" s="1350"/>
      <c r="J726" s="1351"/>
      <c r="K726" s="1343">
        <f>K725</f>
        <v>945</v>
      </c>
      <c r="L726" s="1344"/>
      <c r="M726" s="1344"/>
      <c r="N726" s="1345"/>
      <c r="O726" s="1340">
        <v>1755</v>
      </c>
      <c r="P726" s="1341"/>
      <c r="Q726" s="1341"/>
      <c r="R726" s="1341"/>
      <c r="S726" s="1342"/>
      <c r="T726" s="1340">
        <f>T725</f>
        <v>209</v>
      </c>
      <c r="U726" s="1341"/>
      <c r="V726" s="1341"/>
      <c r="W726" s="1342"/>
      <c r="X726" s="1352">
        <f t="shared" si="8"/>
        <v>1964</v>
      </c>
      <c r="Y726" s="1353"/>
      <c r="Z726" s="1353"/>
      <c r="AA726" s="1353"/>
      <c r="AB726" s="1354"/>
      <c r="AC726" s="1359">
        <v>0.6</v>
      </c>
      <c r="AD726" s="1360"/>
      <c r="AE726" s="1360"/>
      <c r="AF726" s="1360"/>
      <c r="AG726" s="1361"/>
      <c r="AH726" s="1355">
        <f t="shared" si="36"/>
        <v>0.60024449877750607</v>
      </c>
      <c r="AI726" s="1356"/>
      <c r="AJ726" s="1357"/>
      <c r="AK726" s="1337" t="s">
        <v>592</v>
      </c>
      <c r="AL726" s="1338"/>
      <c r="AM726" s="1338"/>
      <c r="AN726" s="1338"/>
      <c r="AO726" s="1339"/>
      <c r="AP726" s="3"/>
      <c r="AQ726" s="3"/>
      <c r="AR726" s="3"/>
      <c r="AS726" s="3"/>
      <c r="AY726" s="1085"/>
      <c r="AZ726" s="118">
        <f t="shared" si="9"/>
        <v>3272</v>
      </c>
      <c r="BA726" s="3"/>
      <c r="BB726" s="3"/>
      <c r="BC726" s="3"/>
      <c r="BD726" s="3"/>
      <c r="BE726" s="204"/>
      <c r="BF726" s="294">
        <f t="shared" si="10"/>
        <v>18</v>
      </c>
      <c r="BG726" s="297">
        <f t="shared" si="11"/>
        <v>0.18947368421052632</v>
      </c>
      <c r="BH726" s="298">
        <f t="shared" si="12"/>
        <v>0.11368421052631579</v>
      </c>
      <c r="BI726" s="3"/>
      <c r="BJ726" s="3"/>
      <c r="BK726" s="3"/>
      <c r="BL726" s="3"/>
      <c r="BM726" s="3"/>
      <c r="BN726" s="3"/>
      <c r="BS726" s="294">
        <f t="shared" si="13"/>
        <v>18</v>
      </c>
      <c r="BT726" s="297">
        <f t="shared" si="14"/>
        <v>0.18947368421052632</v>
      </c>
      <c r="BU726" s="298">
        <f t="shared" si="15"/>
        <v>0.11373053661047484</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0</v>
      </c>
      <c r="DA726" s="1444"/>
      <c r="DB726" s="1444"/>
      <c r="DC726" s="1444"/>
      <c r="DD726" s="1444"/>
      <c r="DE726" s="1444">
        <f t="shared" si="21"/>
        <v>18</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f t="shared" si="33"/>
        <v>1755</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8"/>
        <v>0</v>
      </c>
      <c r="Y727" s="1353"/>
      <c r="Z727" s="1353"/>
      <c r="AA727" s="1353"/>
      <c r="AB727" s="1354"/>
      <c r="AC727" s="1359"/>
      <c r="AD727" s="1360"/>
      <c r="AE727" s="1360"/>
      <c r="AF727" s="1360"/>
      <c r="AG727" s="1361"/>
      <c r="AH727" s="1355" t="str">
        <f t="shared" si="36"/>
        <v/>
      </c>
      <c r="AI727" s="1356"/>
      <c r="AJ727" s="1357"/>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4">
        <f t="shared" si="37"/>
        <v>0</v>
      </c>
      <c r="CH727" s="1465"/>
      <c r="CI727" s="1470">
        <f t="shared" si="38"/>
        <v>0</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2.95" customHeight="1">
      <c r="A753"/>
      <c r="B753" s="1450" t="s">
        <v>125</v>
      </c>
      <c r="C753" s="1451"/>
      <c r="D753" s="1451"/>
      <c r="E753" s="1451"/>
      <c r="F753" s="1452"/>
      <c r="G753" s="1622">
        <f>SUM(G718:G752)</f>
        <v>95</v>
      </c>
      <c r="H753" s="1623"/>
      <c r="I753" s="1623"/>
      <c r="J753" s="1624"/>
      <c r="K753" s="902" t="s">
        <v>124</v>
      </c>
      <c r="L753" s="5"/>
      <c r="M753" s="5"/>
      <c r="N753" s="46"/>
      <c r="O753" s="1352">
        <f>SUMPRODUCT(G718:G752,O718:O752)</f>
        <v>131499</v>
      </c>
      <c r="P753" s="1353"/>
      <c r="Q753" s="1353"/>
      <c r="R753" s="1353"/>
      <c r="S753" s="1354"/>
      <c r="T753"/>
      <c r="U753"/>
      <c r="V753"/>
      <c r="W753"/>
      <c r="X753" s="904" t="s">
        <v>901</v>
      </c>
      <c r="Y753" s="903"/>
      <c r="Z753" s="903"/>
      <c r="AA753" s="903"/>
      <c r="AB753" s="905"/>
      <c r="AC753" s="1605">
        <f>BH753</f>
        <v>0.55789473684210522</v>
      </c>
      <c r="AD753" s="1606"/>
      <c r="AE753" s="1606"/>
      <c r="AF753" s="1606"/>
      <c r="AG753" s="1607"/>
      <c r="AH753" s="1605">
        <f>IFERROR(BU753,"")</f>
        <v>0.55788250184737354</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95</v>
      </c>
      <c r="BG753" s="300">
        <f>SUM(BG718:BG752)</f>
        <v>1</v>
      </c>
      <c r="BH753" s="300">
        <f>SUM(BH718:BH752)</f>
        <v>0.55789473684210522</v>
      </c>
      <c r="BI753"/>
      <c r="BJ753"/>
      <c r="BK753"/>
      <c r="BL753"/>
      <c r="BO753"/>
      <c r="BP753"/>
      <c r="BQ753"/>
      <c r="BR753"/>
      <c r="BS753" s="859">
        <f>SUM(BS718:BS752)</f>
        <v>95</v>
      </c>
      <c r="BT753" s="300">
        <f>SUM(BT718:BT752)</f>
        <v>1</v>
      </c>
      <c r="BU753" s="300">
        <f>SUM(BU718:BU752)</f>
        <v>0.55788250184737354</v>
      </c>
      <c r="CI753" s="1464">
        <f>SUM(CI718:CJ752)</f>
        <v>10</v>
      </c>
      <c r="CJ753" s="1465"/>
      <c r="CM753" s="1464">
        <f>SUM(CM718:CN752)</f>
        <v>10</v>
      </c>
      <c r="CN753" s="1465"/>
      <c r="CP753" s="1464">
        <f>SUM(CP718:CT752)</f>
        <v>0</v>
      </c>
      <c r="CQ753" s="1466"/>
      <c r="CR753" s="1466"/>
      <c r="CS753" s="1466"/>
      <c r="CT753" s="1465"/>
      <c r="CU753" s="1462">
        <f>SUM(CU718:CY752)</f>
        <v>28</v>
      </c>
      <c r="CV753" s="1462"/>
      <c r="CW753" s="1462"/>
      <c r="CX753" s="1462"/>
      <c r="CY753" s="1462"/>
      <c r="CZ753" s="1462">
        <f>SUM(CZ718:DD752)</f>
        <v>43</v>
      </c>
      <c r="DA753" s="1462"/>
      <c r="DB753" s="1462"/>
      <c r="DC753" s="1462"/>
      <c r="DD753" s="1462"/>
      <c r="DE753" s="1462">
        <f>SUM(DE718:DI752)</f>
        <v>24</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2</v>
      </c>
      <c r="EA753" s="1462"/>
      <c r="EB753" s="1462"/>
      <c r="EC753" s="1462"/>
      <c r="ED753" s="1462"/>
      <c r="EE753" s="1462">
        <f>SUM(EE718:EI752)</f>
        <v>5</v>
      </c>
      <c r="EF753" s="1462"/>
      <c r="EG753" s="1462"/>
      <c r="EH753" s="1462"/>
      <c r="EI753" s="1462"/>
      <c r="EJ753" s="1462">
        <f>SUM(EJ718:EN752)</f>
        <v>3</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2859</v>
      </c>
      <c r="FF753" s="1462"/>
      <c r="FG753" s="1462"/>
      <c r="FH753" s="1462"/>
      <c r="FI753" s="1462"/>
      <c r="FJ753" s="1462">
        <f>SUM(FJ718:FN752)</f>
        <v>3427</v>
      </c>
      <c r="FK753" s="1462"/>
      <c r="FL753" s="1462"/>
      <c r="FM753" s="1462"/>
      <c r="FN753" s="1462"/>
      <c r="FO753" s="1462">
        <f>SUM(FO718:FS752)</f>
        <v>3955</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4">
        <f>CP753+CU753+CZ753+DE753+DJ753+DO753</f>
        <v>95</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28</v>
      </c>
      <c r="CZ755" s="3"/>
      <c r="DA755" s="3"/>
      <c r="DB755" s="3"/>
      <c r="DC755" s="3"/>
      <c r="DD755" s="861">
        <f>CZ753*2</f>
        <v>86</v>
      </c>
      <c r="DE755" s="3"/>
      <c r="DF755" s="3"/>
      <c r="DG755" s="3"/>
      <c r="DH755" s="3"/>
      <c r="DI755" s="861">
        <f>DE753*3</f>
        <v>72</v>
      </c>
      <c r="DJ755" s="3"/>
      <c r="DK755" s="3"/>
      <c r="DL755" s="3"/>
      <c r="DM755" s="3"/>
      <c r="DN755" s="861">
        <f>DJ753*4</f>
        <v>0</v>
      </c>
      <c r="DO755" s="3"/>
      <c r="DP755" s="3"/>
      <c r="DQ755" s="3"/>
      <c r="DR755" s="3"/>
      <c r="DS755" s="861">
        <f>DO753*5</f>
        <v>0</v>
      </c>
      <c r="DU755" s="861">
        <f>CT755+CY755+DD755+DI755+DN755+DS755</f>
        <v>186</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2">
        <f>DU755</f>
        <v>186</v>
      </c>
      <c r="P756" s="1462"/>
      <c r="Q756" s="1462"/>
      <c r="R756" s="1462"/>
      <c r="S756" s="969"/>
      <c r="T756" s="969"/>
      <c r="U756" s="118" t="s">
        <v>1894</v>
      </c>
      <c r="V756" s="1032"/>
      <c r="W756" s="1032"/>
      <c r="X756" s="1032"/>
      <c r="Y756" s="1033"/>
      <c r="Z756" s="1033"/>
      <c r="AA756" s="1033"/>
      <c r="AB756" s="1033"/>
      <c r="AC756" s="1032"/>
      <c r="AD756" s="1032"/>
      <c r="AE756" s="1032"/>
      <c r="AF756" s="1032"/>
      <c r="AG756" s="1628"/>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20" t="s">
        <v>285</v>
      </c>
      <c r="P769" s="1620"/>
      <c r="Q769" s="1620"/>
      <c r="R769" s="1620"/>
      <c r="S769" s="1620"/>
      <c r="T769" s="1721" t="s">
        <v>1680</v>
      </c>
      <c r="U769" s="1722"/>
      <c r="V769" s="1722"/>
      <c r="W769" s="1723"/>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0"/>
      <c r="P770" s="1620"/>
      <c r="Q770" s="1620"/>
      <c r="R770" s="1620"/>
      <c r="S770" s="1620"/>
      <c r="T770" s="1724"/>
      <c r="U770" s="1725"/>
      <c r="V770" s="1725"/>
      <c r="W770" s="1726"/>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0"/>
      <c r="P771" s="1620"/>
      <c r="Q771" s="1620"/>
      <c r="R771" s="1620"/>
      <c r="S771" s="1620"/>
      <c r="T771" s="1724"/>
      <c r="U771" s="1725"/>
      <c r="V771" s="1725"/>
      <c r="W771" s="1726"/>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0"/>
      <c r="P772" s="1620"/>
      <c r="Q772" s="1620"/>
      <c r="R772" s="1620"/>
      <c r="S772" s="1620"/>
      <c r="T772" s="1727"/>
      <c r="U772" s="1728"/>
      <c r="V772" s="1728"/>
      <c r="W772" s="1729"/>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4">
        <v>1</v>
      </c>
      <c r="P773" s="1614"/>
      <c r="Q773" s="1614"/>
      <c r="R773" s="1614"/>
      <c r="S773" s="1614"/>
      <c r="T773" s="1343">
        <f>K723</f>
        <v>764</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20" t="s">
        <v>285</v>
      </c>
      <c r="P783" s="1620"/>
      <c r="Q783" s="1620"/>
      <c r="R783" s="1620"/>
      <c r="S783" s="1620"/>
      <c r="T783" s="1721" t="s">
        <v>1680</v>
      </c>
      <c r="U783" s="1722"/>
      <c r="V783" s="1722"/>
      <c r="W783" s="1723"/>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0"/>
      <c r="P784" s="1620"/>
      <c r="Q784" s="1620"/>
      <c r="R784" s="1620"/>
      <c r="S784" s="1620"/>
      <c r="T784" s="1724"/>
      <c r="U784" s="1725"/>
      <c r="V784" s="1725"/>
      <c r="W784" s="1726"/>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0"/>
      <c r="P785" s="1620"/>
      <c r="Q785" s="1620"/>
      <c r="R785" s="1620"/>
      <c r="S785" s="1620"/>
      <c r="T785" s="1724"/>
      <c r="U785" s="1725"/>
      <c r="V785" s="1725"/>
      <c r="W785" s="1726"/>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0"/>
      <c r="P786" s="1620"/>
      <c r="Q786" s="1620"/>
      <c r="R786" s="1620"/>
      <c r="S786" s="1620"/>
      <c r="T786" s="1727"/>
      <c r="U786" s="1728"/>
      <c r="V786" s="1728"/>
      <c r="W786" s="1729"/>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31">
        <f>SUM(O787:S796)</f>
        <v>0</v>
      </c>
      <c r="P797" s="1731"/>
      <c r="Q797" s="1731"/>
      <c r="R797" s="1731"/>
      <c r="S797" s="1731"/>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131499</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1577988</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28</v>
      </c>
      <c r="CV802" s="1474"/>
      <c r="CW802" s="1474"/>
      <c r="CX802" s="1474"/>
      <c r="CY802" s="1475"/>
      <c r="CZ802" s="1473">
        <f>CZ753+CZ777+CZ797</f>
        <v>44</v>
      </c>
      <c r="DA802" s="1474"/>
      <c r="DB802" s="1474"/>
      <c r="DC802" s="1474"/>
      <c r="DD802" s="1475"/>
      <c r="DE802" s="1473">
        <f>DE753+DE777+DE797</f>
        <v>24</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186</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3"/>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11520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2717</v>
      </c>
      <c r="Q816" s="1595"/>
      <c r="R816" s="1595"/>
      <c r="S816" s="1595"/>
      <c r="T816" s="1595"/>
      <c r="U816" s="1595"/>
      <c r="V816" s="1595"/>
      <c r="W816" s="1595"/>
      <c r="X816" s="1595"/>
      <c r="Y816" s="1596"/>
      <c r="Z816" s="1467">
        <v>11520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23040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1601028</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2" t="s">
        <v>335</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8"/>
      <c r="E825" s="1358"/>
      <c r="F825" s="1358"/>
      <c r="G825" s="1358"/>
      <c r="H825" s="1358"/>
      <c r="I825" s="48"/>
      <c r="J825" s="48"/>
      <c r="K825" s="48"/>
      <c r="L825" s="49"/>
      <c r="M825" s="1643"/>
      <c r="N825" s="1643"/>
      <c r="O825" s="1643"/>
      <c r="P825" s="1643"/>
      <c r="Q825" s="1643">
        <v>47</v>
      </c>
      <c r="R825" s="1643"/>
      <c r="S825" s="1643"/>
      <c r="T825" s="1643"/>
      <c r="U825" s="1643">
        <v>55</v>
      </c>
      <c r="V825" s="1643"/>
      <c r="W825" s="1643"/>
      <c r="X825" s="1643"/>
      <c r="Y825" s="1643">
        <v>63</v>
      </c>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v>41</v>
      </c>
      <c r="R827" s="1643"/>
      <c r="S827" s="1643"/>
      <c r="T827" s="1643"/>
      <c r="U827" s="1643">
        <v>50</v>
      </c>
      <c r="V827" s="1643"/>
      <c r="W827" s="1643"/>
      <c r="X827" s="1643"/>
      <c r="Y827" s="1643">
        <v>53</v>
      </c>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v>42</v>
      </c>
      <c r="R829" s="1643"/>
      <c r="S829" s="1643"/>
      <c r="T829" s="1643"/>
      <c r="U829" s="1643">
        <v>51</v>
      </c>
      <c r="V829" s="1643"/>
      <c r="W829" s="1643"/>
      <c r="X829" s="1643"/>
      <c r="Y829" s="1643">
        <v>63</v>
      </c>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2694</v>
      </c>
      <c r="G831" s="1595"/>
      <c r="H831" s="1595"/>
      <c r="I831" s="1595"/>
      <c r="J831" s="1595"/>
      <c r="K831" s="1595"/>
      <c r="L831" s="1595"/>
      <c r="M831" s="1643"/>
      <c r="N831" s="1643"/>
      <c r="O831" s="1643"/>
      <c r="P831" s="1643"/>
      <c r="Q831" s="1643">
        <v>19</v>
      </c>
      <c r="R831" s="1643"/>
      <c r="S831" s="1643"/>
      <c r="T831" s="1643"/>
      <c r="U831" s="1643">
        <v>23</v>
      </c>
      <c r="V831" s="1643"/>
      <c r="W831" s="1643"/>
      <c r="X831" s="1643"/>
      <c r="Y831" s="1643">
        <v>30</v>
      </c>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149</v>
      </c>
      <c r="R832" s="1637"/>
      <c r="S832" s="1637"/>
      <c r="T832" s="1637"/>
      <c r="U832" s="1637">
        <f>SUM(U825:X831)</f>
        <v>179</v>
      </c>
      <c r="V832" s="1637"/>
      <c r="W832" s="1637"/>
      <c r="X832" s="1637"/>
      <c r="Y832" s="1637">
        <f>SUM(Y825:AB831)</f>
        <v>209</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2695</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2">
        <v>27464</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2">
        <v>5220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2">
        <f>1800+1080+1620</f>
        <v>4500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2">
        <v>2700</v>
      </c>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170</v>
      </c>
      <c r="K846" s="5"/>
      <c r="L846" s="5"/>
      <c r="M846" s="1594" t="s">
        <v>2718</v>
      </c>
      <c r="N846" s="1595"/>
      <c r="O846" s="1595"/>
      <c r="P846" s="1595"/>
      <c r="Q846" s="1595"/>
      <c r="R846" s="1595"/>
      <c r="S846" s="1595"/>
      <c r="T846" s="1595"/>
      <c r="U846" s="1595"/>
      <c r="V846" s="1596"/>
      <c r="W846" s="1482">
        <f>2400+2400+1800+600+17424+3492-5600</f>
        <v>22516</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62400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7">
        <v>69120</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20"/>
      <c r="BA851" s="1720"/>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f>18348+29784</f>
        <v>48132</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f>18636+42096</f>
        <v>60732</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108864</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47832</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45756</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4" t="s">
        <v>2719</v>
      </c>
      <c r="N861" s="1595"/>
      <c r="O861" s="1595"/>
      <c r="P861" s="1595"/>
      <c r="Q861" s="1595"/>
      <c r="R861" s="1595"/>
      <c r="S861" s="1595"/>
      <c r="T861" s="1595"/>
      <c r="U861" s="1595"/>
      <c r="V861" s="1596"/>
      <c r="W861" s="1631">
        <v>24012</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117600</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52408.319999999992</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2">
        <v>3120</v>
      </c>
      <c r="X865" s="1482"/>
      <c r="Y865" s="1482"/>
      <c r="Z865" s="1482"/>
      <c r="AA865" s="1482"/>
      <c r="AB865" s="1482"/>
      <c r="AC865" s="1482"/>
      <c r="AU865" s="14"/>
      <c r="AZ865" s="34"/>
      <c r="BA865" s="34"/>
      <c r="BB865" s="34"/>
      <c r="BC865" s="34"/>
    </row>
    <row r="866" spans="3:55" ht="12.95" customHeight="1">
      <c r="J866" s="45" t="s">
        <v>523</v>
      </c>
      <c r="K866" s="5"/>
      <c r="L866" s="5"/>
      <c r="M866" s="5"/>
      <c r="N866" s="5"/>
      <c r="O866" s="5"/>
      <c r="P866" s="5"/>
      <c r="Q866" s="5"/>
      <c r="R866" s="5"/>
      <c r="S866" s="5"/>
      <c r="T866" s="5"/>
      <c r="U866" s="5"/>
      <c r="V866" s="46"/>
      <c r="W866" s="1482">
        <f>960+960+2160+1800+20540+9960</f>
        <v>36380</v>
      </c>
      <c r="X866" s="1482"/>
      <c r="Y866" s="1482"/>
      <c r="Z866" s="1482"/>
      <c r="AA866" s="1482"/>
      <c r="AB866" s="1482"/>
      <c r="AC866" s="1482"/>
      <c r="AU866" s="4"/>
      <c r="AZ866" s="34"/>
      <c r="BA866" s="34"/>
      <c r="BB866" s="34"/>
      <c r="BC866" s="34"/>
    </row>
    <row r="867" spans="3:55" ht="12.95" customHeight="1">
      <c r="J867" s="45" t="s">
        <v>522</v>
      </c>
      <c r="K867" s="5"/>
      <c r="L867" s="5"/>
      <c r="M867" s="5"/>
      <c r="N867" s="5"/>
      <c r="O867" s="5"/>
      <c r="P867" s="5"/>
      <c r="Q867" s="5"/>
      <c r="R867" s="5"/>
      <c r="S867" s="5"/>
      <c r="T867" s="5"/>
      <c r="U867" s="5"/>
      <c r="V867" s="46"/>
      <c r="W867" s="1482"/>
      <c r="X867" s="1482"/>
      <c r="Y867" s="1482"/>
      <c r="Z867" s="1482"/>
      <c r="AA867" s="1482"/>
      <c r="AB867" s="1482"/>
      <c r="AC867" s="1482"/>
      <c r="AU867" s="4"/>
      <c r="AZ867" s="34"/>
      <c r="BA867" s="34"/>
      <c r="BB867" s="34"/>
      <c r="BC867" s="34"/>
    </row>
    <row r="868" spans="3:55" ht="12.95" customHeight="1">
      <c r="J868" s="45" t="s">
        <v>521</v>
      </c>
      <c r="K868" s="5"/>
      <c r="L868" s="5"/>
      <c r="M868" s="5"/>
      <c r="N868" s="5"/>
      <c r="O868" s="5"/>
      <c r="P868" s="5"/>
      <c r="Q868" s="5"/>
      <c r="R868" s="5"/>
      <c r="S868" s="5"/>
      <c r="T868" s="5"/>
      <c r="U868" s="5"/>
      <c r="V868" s="46"/>
      <c r="W868" s="1482"/>
      <c r="X868" s="1482"/>
      <c r="Y868" s="1482"/>
      <c r="Z868" s="1482"/>
      <c r="AA868" s="1482"/>
      <c r="AB868" s="1482"/>
      <c r="AC868" s="1482"/>
      <c r="AU868" s="4"/>
      <c r="AZ868" s="34"/>
      <c r="BA868" s="34"/>
      <c r="BB868" s="34"/>
      <c r="BC868" s="34"/>
    </row>
    <row r="869" spans="3:55" ht="12.95" customHeight="1">
      <c r="J869" s="45" t="s">
        <v>520</v>
      </c>
      <c r="K869" s="5"/>
      <c r="L869" s="5"/>
      <c r="M869" s="5"/>
      <c r="N869" s="5"/>
      <c r="O869" s="5"/>
      <c r="P869" s="5"/>
      <c r="Q869" s="5"/>
      <c r="R869" s="5"/>
      <c r="S869" s="5"/>
      <c r="T869" s="5"/>
      <c r="U869" s="5"/>
      <c r="V869" s="46"/>
      <c r="W869" s="1482">
        <f>21600+4200</f>
        <v>25800</v>
      </c>
      <c r="X869" s="1482"/>
      <c r="Y869" s="1482"/>
      <c r="Z869" s="1482"/>
      <c r="AA869" s="1482"/>
      <c r="AB869" s="1482"/>
      <c r="AC869" s="1482"/>
      <c r="AU869" s="4"/>
      <c r="AZ869" s="34"/>
      <c r="BA869" s="34"/>
      <c r="BB869" s="34"/>
      <c r="BC869" s="34"/>
    </row>
    <row r="870" spans="3:55" ht="12.95" customHeight="1">
      <c r="J870" s="45" t="s">
        <v>519</v>
      </c>
      <c r="K870" s="5"/>
      <c r="L870" s="5"/>
      <c r="M870" s="5"/>
      <c r="N870" s="5"/>
      <c r="O870" s="5"/>
      <c r="P870" s="5"/>
      <c r="Q870" s="5"/>
      <c r="R870" s="5"/>
      <c r="S870" s="5"/>
      <c r="T870" s="5"/>
      <c r="U870" s="5"/>
      <c r="V870" s="46"/>
      <c r="W870" s="1482"/>
      <c r="X870" s="1482"/>
      <c r="Y870" s="1482"/>
      <c r="Z870" s="1482"/>
      <c r="AA870" s="1482"/>
      <c r="AB870" s="1482"/>
      <c r="AC870" s="1482"/>
      <c r="AU870" s="4"/>
      <c r="AZ870" s="34"/>
      <c r="BA870" s="34"/>
      <c r="BB870" s="34"/>
      <c r="BC870" s="34"/>
    </row>
    <row r="871" spans="3:55" ht="12.95" customHeight="1">
      <c r="J871" s="45" t="s">
        <v>170</v>
      </c>
      <c r="K871" s="5"/>
      <c r="L871" s="5"/>
      <c r="M871" s="1594" t="s">
        <v>2720</v>
      </c>
      <c r="N871" s="1595"/>
      <c r="O871" s="1595"/>
      <c r="P871" s="1595"/>
      <c r="Q871" s="1595"/>
      <c r="R871" s="1595"/>
      <c r="S871" s="1595"/>
      <c r="T871" s="1595"/>
      <c r="U871" s="1595"/>
      <c r="V871" s="1596"/>
      <c r="W871" s="1717">
        <f>1200+700</f>
        <v>1900</v>
      </c>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67200</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t="s">
        <v>334</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2.95" customHeight="1">
      <c r="C875" s="2" t="s">
        <v>1245</v>
      </c>
      <c r="J875" s="45" t="s">
        <v>170</v>
      </c>
      <c r="K875" s="5"/>
      <c r="L875" s="5"/>
      <c r="M875" s="1594" t="s">
        <v>334</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477592.32000000001</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96</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4974</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8">
        <v>348001.44438737759</v>
      </c>
      <c r="AD886" s="1719"/>
      <c r="AE886" s="1719"/>
      <c r="AF886" s="1719"/>
      <c r="AG886" s="1719"/>
      <c r="AH886" s="171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v>25000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24000</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v>6695</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3360</v>
      </c>
      <c r="AD891" s="1468"/>
      <c r="AE891" s="1468"/>
      <c r="AF891" s="1468"/>
      <c r="AG891" s="1468"/>
      <c r="AH891" s="1469"/>
      <c r="AZ891" s="34"/>
      <c r="BA891" s="34"/>
      <c r="BB891" s="34"/>
      <c r="BC891" s="34"/>
    </row>
    <row r="892" spans="3:55" ht="12.95" hidden="1" customHeight="1">
      <c r="C892" s="1450" t="s">
        <v>2235</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8"/>
      <c r="AD893" s="1468"/>
      <c r="AE893" s="1468"/>
      <c r="AF893" s="1468"/>
      <c r="AG893" s="1468"/>
      <c r="AH893" s="1469"/>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30"/>
      <c r="BE910" s="1629"/>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546</v>
      </c>
      <c r="V918" s="1402"/>
      <c r="W918" s="1402"/>
      <c r="X918" s="1402"/>
      <c r="Y918" s="1402"/>
      <c r="Z918" s="1403"/>
      <c r="AA918" s="1407">
        <v>26000000</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546</v>
      </c>
      <c r="V919" s="1402"/>
      <c r="W919" s="1402"/>
      <c r="X919" s="1402"/>
      <c r="Y919" s="1402"/>
      <c r="Z919" s="1403"/>
      <c r="AA919" s="1407">
        <v>5177243.7829233864</v>
      </c>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1" t="s">
        <v>592</v>
      </c>
      <c r="V936" s="1402"/>
      <c r="W936" s="1402"/>
      <c r="X936" s="1402"/>
      <c r="Y936" s="1402"/>
      <c r="Z936" s="1403"/>
      <c r="AA936" s="1407"/>
      <c r="AB936" s="1408"/>
      <c r="AC936" s="1408"/>
      <c r="AD936" s="1408"/>
      <c r="AE936" s="1408"/>
      <c r="AF936" s="1409"/>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1" t="s">
        <v>592</v>
      </c>
      <c r="V937" s="1402"/>
      <c r="W937" s="1402"/>
      <c r="X937" s="1402"/>
      <c r="Y937" s="1402"/>
      <c r="Z937" s="1403"/>
      <c r="AA937" s="1407"/>
      <c r="AB937" s="1408"/>
      <c r="AC937" s="1408"/>
      <c r="AD937" s="1408"/>
      <c r="AE937" s="1408"/>
      <c r="AF937" s="1409"/>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1" t="s">
        <v>592</v>
      </c>
      <c r="V938" s="1402"/>
      <c r="W938" s="1402"/>
      <c r="X938" s="1402"/>
      <c r="Y938" s="1402"/>
      <c r="Z938" s="1403"/>
      <c r="AA938" s="1407"/>
      <c r="AB938" s="1408"/>
      <c r="AC938" s="1408"/>
      <c r="AD938" s="1408"/>
      <c r="AE938" s="1408"/>
      <c r="AF938" s="1409"/>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1" t="s">
        <v>592</v>
      </c>
      <c r="V939" s="1402"/>
      <c r="W939" s="1402"/>
      <c r="X939" s="1402"/>
      <c r="Y939" s="1402"/>
      <c r="Z939" s="1403"/>
      <c r="AA939" s="1407"/>
      <c r="AB939" s="1408"/>
      <c r="AC939" s="1408"/>
      <c r="AD939" s="1408"/>
      <c r="AE939" s="1408"/>
      <c r="AF939" s="1409"/>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94" t="s">
        <v>2721</v>
      </c>
      <c r="J948" s="1538"/>
      <c r="K948" s="1538"/>
      <c r="L948" s="1538"/>
      <c r="M948" s="1538"/>
      <c r="N948" s="1538"/>
      <c r="O948" s="1538"/>
      <c r="P948" s="1538"/>
      <c r="Q948" s="1538"/>
      <c r="R948" s="1538"/>
      <c r="S948" s="1538"/>
      <c r="T948" s="1539"/>
      <c r="U948" s="1401" t="s">
        <v>546</v>
      </c>
      <c r="V948" s="1402"/>
      <c r="W948" s="1402"/>
      <c r="X948" s="1402"/>
      <c r="Y948" s="1402"/>
      <c r="Z948" s="1403"/>
      <c r="AA948" s="1407">
        <v>5060000</v>
      </c>
      <c r="AB948" s="1408"/>
      <c r="AC948" s="1408"/>
      <c r="AD948" s="1408"/>
      <c r="AE948" s="1408"/>
      <c r="AF948" s="1409"/>
      <c r="AV948" s="2"/>
      <c r="AW948" s="2"/>
      <c r="AX948" s="2"/>
      <c r="AY948" s="2"/>
      <c r="AZ948" s="34"/>
      <c r="BA948" s="34"/>
      <c r="BB948" s="34"/>
      <c r="BC948" s="34"/>
    </row>
    <row r="949" spans="1:55" ht="12.95" customHeight="1">
      <c r="F949" s="47" t="s">
        <v>170</v>
      </c>
      <c r="G949" s="48"/>
      <c r="H949" s="48"/>
      <c r="I949" s="1537" t="s">
        <v>334</v>
      </c>
      <c r="J949" s="1538"/>
      <c r="K949" s="1538"/>
      <c r="L949" s="1538"/>
      <c r="M949" s="1538"/>
      <c r="N949" s="1538"/>
      <c r="O949" s="1538"/>
      <c r="P949" s="1538"/>
      <c r="Q949" s="1538"/>
      <c r="R949" s="1538"/>
      <c r="S949" s="1538"/>
      <c r="T949" s="1539"/>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7" t="s">
        <v>334</v>
      </c>
      <c r="J950" s="1538"/>
      <c r="K950" s="1538"/>
      <c r="L950" s="1538"/>
      <c r="M950" s="1538"/>
      <c r="N950" s="1538"/>
      <c r="O950" s="1538"/>
      <c r="P950" s="1538"/>
      <c r="Q950" s="1538"/>
      <c r="R950" s="1538"/>
      <c r="S950" s="1538"/>
      <c r="T950" s="1539"/>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5" customHeight="1">
      <c r="C957" s="66" t="s">
        <v>881</v>
      </c>
      <c r="D957" s="5"/>
      <c r="E957" s="5"/>
      <c r="J957" s="1554" t="s">
        <v>307</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1"/>
      <c r="N967" s="1532"/>
      <c r="O967" s="1532"/>
      <c r="P967" s="1532"/>
      <c r="Q967" s="1532"/>
      <c r="R967" s="1532"/>
      <c r="S967" s="1533"/>
      <c r="T967" s="66" t="s">
        <v>791</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1"/>
      <c r="N968" s="1532"/>
      <c r="O968" s="1532"/>
      <c r="P968" s="1532"/>
      <c r="Q968" s="1532"/>
      <c r="R968" s="1532"/>
      <c r="S968" s="1533"/>
      <c r="T968" s="66" t="s">
        <v>790</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8"/>
      <c r="H975" s="1358"/>
      <c r="I975" s="1358"/>
      <c r="J975" s="1358"/>
      <c r="K975" s="1358"/>
      <c r="L975" s="1358"/>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3">
        <f>IF(ISNA(IF($CU$122="4%",(INDEX($CS$160:$CW$217,MATCH($DG$122,$CR$160:$CR$217,0),MATCH(D986,$CS$159:$CW$159,0))),(INDEX($CZ$160:$DD$217,MATCH($DG$122,$CY$160:$CY$217,0),MATCH(D986,$CZ$159:$DD$159,0))))),0,IF($CU$122="4%",(INDEX($CS$160:$CW$217,MATCH($DG$122,$CR$160:$CR$217,0),MATCH(D986,$CS$159:$CW$159,0))),(INDEX($CZ$160:$DD$217,MATCH($DG$122,$CY$160:$CY$217,0),MATCH(D986,$CZ$159:$DD$159,0)))))</f>
        <v>331890</v>
      </c>
      <c r="S986" s="1553"/>
      <c r="T986" s="1553"/>
      <c r="U986" s="1553"/>
      <c r="V986" s="1553"/>
      <c r="W986" s="1553"/>
      <c r="X986" s="1553"/>
      <c r="Y986" s="1553"/>
      <c r="Z986" s="1553"/>
      <c r="AA986" s="1553"/>
      <c r="AB986" s="1389">
        <f>CP802</f>
        <v>0</v>
      </c>
      <c r="AC986" s="1390"/>
      <c r="AD986" s="1390"/>
      <c r="AE986" s="1390"/>
      <c r="AF986" s="1390"/>
      <c r="AG986" s="1390"/>
      <c r="AH986" s="1390"/>
      <c r="AI986" s="1391"/>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3">
        <f>IF(ISNA(IF($CU$122="4%",(INDEX($CS$160:$CW$217,MATCH($DG$122,$CR$160:$CR$217,0),MATCH(D987,$CS$159:$CW$159,0))),(INDEX($CZ$160:$DD$217,MATCH($DG$122,$CY$160:$CY$217,0),MATCH(D987,$CZ$159:$DD$159,0))))),0,IF($CU$122="4%",(INDEX($CS$160:$CW$217,MATCH($DG$122,$CR$160:$CR$217,0),MATCH(D987,$CS$159:$CW$159,0))),(INDEX($CZ$160:$DD$217,MATCH($DG$122,$CY$160:$CY$217,0),MATCH(D987,$CZ$159:$DD$159,0)))))</f>
        <v>382666</v>
      </c>
      <c r="S987" s="1553"/>
      <c r="T987" s="1553"/>
      <c r="U987" s="1553"/>
      <c r="V987" s="1553"/>
      <c r="W987" s="1553"/>
      <c r="X987" s="1553"/>
      <c r="Y987" s="1553"/>
      <c r="Z987" s="1553"/>
      <c r="AA987" s="1553"/>
      <c r="AB987" s="1389">
        <f>CU802</f>
        <v>28</v>
      </c>
      <c r="AC987" s="1390"/>
      <c r="AD987" s="1390"/>
      <c r="AE987" s="1390"/>
      <c r="AF987" s="1390"/>
      <c r="AG987" s="1390"/>
      <c r="AH987" s="1390"/>
      <c r="AI987" s="1391"/>
      <c r="AJ987" s="1489">
        <f>IF(ISERROR((R987*AB987)),0,(R987*AB987))</f>
        <v>10714648</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3">
        <f>IF(ISNA(IF($CU$122="4%",(INDEX($CS$160:$CW$217,MATCH($DG$122,$CR$160:$CR$217,0),MATCH(D988,$CS$159:$CW$159,0))),(INDEX($CZ$160:$DD$217,MATCH($DG$122,$CY$160:$CY$217,0),MATCH(D988,$CZ$159:$DD$159,0))))),0,IF($CU$122="4%",(INDEX($CS$160:$CW$217,MATCH($DG$122,$CR$160:$CR$217,0),MATCH(D988,$CS$159:$CW$159,0))),(INDEX($CZ$160:$DD$217,MATCH($DG$122,$CY$160:$CY$217,0),MATCH(D988,$CZ$159:$DD$159,0)))))</f>
        <v>461600</v>
      </c>
      <c r="S988" s="1553"/>
      <c r="T988" s="1553"/>
      <c r="U988" s="1553"/>
      <c r="V988" s="1553"/>
      <c r="W988" s="1553"/>
      <c r="X988" s="1553"/>
      <c r="Y988" s="1553"/>
      <c r="Z988" s="1553"/>
      <c r="AA988" s="1553"/>
      <c r="AB988" s="1389">
        <f>CZ802</f>
        <v>44</v>
      </c>
      <c r="AC988" s="1390"/>
      <c r="AD988" s="1390"/>
      <c r="AE988" s="1390"/>
      <c r="AF988" s="1390"/>
      <c r="AG988" s="1390"/>
      <c r="AH988" s="1390"/>
      <c r="AI988" s="1391"/>
      <c r="AJ988" s="1489">
        <f>IF(ISERROR((R988*AB988)),0,(R988*AB988))</f>
        <v>20310400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3">
        <f>IF(ISNA(IF($CU$122="4%",(INDEX($CS$160:$CW$217,MATCH($DG$122,$CR$160:$CR$217,0),MATCH(D989,$CS$159:$CW$159,0))),(INDEX($CZ$160:$DD$217,MATCH($DG$122,$CY$160:$CY$217,0),MATCH(D989,$CZ$159:$DD$159,0))))),0,IF($CU$122="4%",(INDEX($CS$160:$CW$217,MATCH($DG$122,$CR$160:$CR$217,0),MATCH(D989,$CS$159:$CW$159,0))),(INDEX($CZ$160:$DD$217,MATCH($DG$122,$CY$160:$CY$217,0),MATCH(D989,$CZ$159:$DD$159,0)))))</f>
        <v>590848</v>
      </c>
      <c r="S989" s="1553"/>
      <c r="T989" s="1553"/>
      <c r="U989" s="1553"/>
      <c r="V989" s="1553"/>
      <c r="W989" s="1553"/>
      <c r="X989" s="1553"/>
      <c r="Y989" s="1553"/>
      <c r="Z989" s="1553"/>
      <c r="AA989" s="1553"/>
      <c r="AB989" s="1389">
        <f>DE802</f>
        <v>24</v>
      </c>
      <c r="AC989" s="1390"/>
      <c r="AD989" s="1390"/>
      <c r="AE989" s="1390"/>
      <c r="AF989" s="1390"/>
      <c r="AG989" s="1390"/>
      <c r="AH989" s="1390"/>
      <c r="AI989" s="1391"/>
      <c r="AJ989" s="1489">
        <f>IF(ISERROR((R989*AB989)),0,(R989*AB989))</f>
        <v>14180352</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3">
        <f>IF(ISNA(IF($CU$122="4%",(INDEX($CS$160:$CW$217,MATCH($DG$122,$CR$160:$CR$217,0),MATCH(D990,$CS$159:$CW$159,0))),(INDEX($CZ$160:$DD$217,MATCH($DG$122,$CY$160:$CY$217,0),MATCH(D990,$CZ$159:$DD$159,0))))),0,IF($CU$122="4%",(INDEX($CS$160:$CW$217,MATCH($DG$122,$CR$160:$CR$217,0),MATCH(D990,$CS$159:$CW$159,0))),(INDEX($CZ$160:$DD$217,MATCH($DG$122,$CY$160:$CY$217,0),MATCH(D990,$CZ$159:$DD$159,0)))))</f>
        <v>658242</v>
      </c>
      <c r="S990" s="1553"/>
      <c r="T990" s="1553"/>
      <c r="U990" s="1553"/>
      <c r="V990" s="1553"/>
      <c r="W990" s="1553"/>
      <c r="X990" s="1553"/>
      <c r="Y990" s="1553"/>
      <c r="Z990" s="1553"/>
      <c r="AA990" s="1553"/>
      <c r="AB990" s="1389">
        <f>DO802+DJ802</f>
        <v>0</v>
      </c>
      <c r="AC990" s="1390"/>
      <c r="AD990" s="1390"/>
      <c r="AE990" s="1390"/>
      <c r="AF990" s="1390"/>
      <c r="AG990" s="1390"/>
      <c r="AH990" s="1390"/>
      <c r="AI990" s="1391"/>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89">
        <f>SUM(AB986:AI990)</f>
        <v>96</v>
      </c>
      <c r="AC991" s="1390"/>
      <c r="AD991" s="1390"/>
      <c r="AE991" s="1390"/>
      <c r="AF991" s="1390"/>
      <c r="AG991" s="1390"/>
      <c r="AH991" s="1390"/>
      <c r="AI991" s="1391"/>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45205400</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667</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669</v>
      </c>
      <c r="D994" s="1505" t="s">
        <v>1221</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670</v>
      </c>
      <c r="AH994" s="1502"/>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40" t="s">
        <v>2237</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3" t="s">
        <v>2207</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5" t="s">
        <v>1287</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670</v>
      </c>
      <c r="AH1001" s="1504"/>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40" t="s">
        <v>1285</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95</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0.1</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0.1</v>
      </c>
      <c r="AZ1006" s="34"/>
      <c r="BB1006" s="34"/>
    </row>
    <row r="1007" spans="1:55" ht="12.95" customHeight="1">
      <c r="A1007" s="14"/>
      <c r="B1007" s="255"/>
      <c r="C1007" s="80" t="s">
        <v>673</v>
      </c>
      <c r="D1007" s="1495" t="s">
        <v>1684</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670</v>
      </c>
      <c r="AH1007" s="1504"/>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8" t="s">
        <v>1286</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5" t="s">
        <v>1288</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670</v>
      </c>
      <c r="AH1011" s="1504"/>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1" t="s">
        <v>1289</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2609</v>
      </c>
    </row>
    <row r="1013" spans="1:52" ht="12.95" customHeight="1">
      <c r="A1013" s="14"/>
      <c r="B1013" s="79"/>
      <c r="C1013" s="80" t="s">
        <v>215</v>
      </c>
      <c r="D1013" s="1495" t="s">
        <v>1290</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670</v>
      </c>
      <c r="AH1013" s="1504"/>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8" t="s">
        <v>1291</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218</v>
      </c>
      <c r="D1016" s="1505" t="s">
        <v>2238</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546</v>
      </c>
      <c r="AH1016" s="1504"/>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8" t="s">
        <v>1292</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3" t="str">
        <f>IF(AND(AG1016="Yes",AY1024=0),AY1027,"")</f>
        <v>Select items beginning on row #1061 to claim this boost</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223</v>
      </c>
      <c r="D1020" s="1522" t="s">
        <v>1293</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670</v>
      </c>
      <c r="AH1020" s="1504"/>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8" t="s">
        <v>1294</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6" t="s">
        <v>592</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8"/>
      <c r="AK1024" s="1399"/>
      <c r="AL1024" s="1399"/>
      <c r="AM1024" s="1399"/>
      <c r="AN1024" s="1399"/>
      <c r="AO1024" s="1399"/>
      <c r="AP1024" s="1399"/>
      <c r="AQ1024" s="1400"/>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5" t="s">
        <v>1295</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546</v>
      </c>
      <c r="AH1025" s="1504"/>
      <c r="AI1025" s="87"/>
      <c r="AJ1025" s="1392">
        <f>ROUND(IF(AG1025="Yes",AF1027,0),0)</f>
        <v>2395810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8" t="s">
        <v>1691</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2395810</v>
      </c>
      <c r="AG1027" s="1557"/>
      <c r="AH1027" s="1557"/>
      <c r="AI1027" s="1557"/>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5" t="s">
        <v>1296</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670</v>
      </c>
      <c r="AH1029" s="1504"/>
      <c r="AI1029" s="87"/>
      <c r="AJ1029" s="1392">
        <f>ROUND(IF(AG1029="yes",(AJ992*0.1),0),0)</f>
        <v>0</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8" t="s">
        <v>1297</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5" t="s">
        <v>1687</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670</v>
      </c>
      <c r="AH1032" s="1504"/>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7"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5" t="s">
        <v>1689</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670</v>
      </c>
      <c r="AH1036" s="1584"/>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7"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0.21052631578947367</v>
      </c>
      <c r="BB1039" s="3" t="s">
        <v>2495</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5" t="s">
        <v>1298</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670</v>
      </c>
      <c r="AH1041" s="1504"/>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2493</v>
      </c>
    </row>
    <row r="1042" spans="1:56" ht="12.95" customHeight="1">
      <c r="A1042" s="14"/>
      <c r="B1042" s="73"/>
      <c r="C1042" s="74"/>
      <c r="D1042" s="1508" t="s">
        <v>2146</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2494</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5" t="s">
        <v>1866</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2">
        <f>IF((X1048=0),0,AY1005*AJ992)</f>
        <v>4520540</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8" t="s">
        <v>1300</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5107440.5999999996</v>
      </c>
      <c r="BA1046" s="1182">
        <f>IF(BA1040,20%,15%)</f>
        <v>0.15</v>
      </c>
      <c r="BB1046" s="3" t="s">
        <v>2481</v>
      </c>
      <c r="BC1046" s="3" t="s">
        <v>2482</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1">
        <f>AY1003</f>
        <v>95</v>
      </c>
      <c r="J1048" s="1572"/>
      <c r="K1048" s="7"/>
      <c r="L1048" s="133"/>
      <c r="M1048" s="133"/>
      <c r="N1048" s="133"/>
      <c r="O1048" s="133"/>
      <c r="P1048" s="133"/>
      <c r="Q1048" s="133"/>
      <c r="R1048" s="133"/>
      <c r="S1048" s="133"/>
      <c r="T1048" s="133"/>
      <c r="U1048" s="133"/>
      <c r="V1048" s="134" t="s">
        <v>974</v>
      </c>
      <c r="W1048" s="48"/>
      <c r="X1048" s="1569">
        <f>CI753</f>
        <v>10</v>
      </c>
      <c r="Y1048" s="1570"/>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2.95" customHeight="1">
      <c r="A1049" s="14"/>
      <c r="B1049" s="79"/>
      <c r="C1049" s="131" t="s">
        <v>1686</v>
      </c>
      <c r="D1049" s="1495" t="s">
        <v>2172</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2">
        <f>IF((X1052=0),0,(2*AY1006)*AJ992)</f>
        <v>9041080</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8" t="s">
        <v>1299</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1">
        <f>AY1003</f>
        <v>95</v>
      </c>
      <c r="J1052" s="1572"/>
      <c r="K1052" s="14"/>
      <c r="L1052" s="133"/>
      <c r="M1052" s="133"/>
      <c r="N1052" s="133"/>
      <c r="O1052" s="133"/>
      <c r="P1052" s="133"/>
      <c r="Q1052" s="133"/>
      <c r="R1052" s="133"/>
      <c r="S1052" s="133"/>
      <c r="T1052" s="133"/>
      <c r="U1052" s="133"/>
      <c r="V1052" s="134" t="s">
        <v>975</v>
      </c>
      <c r="X1052" s="1569">
        <f>CM753</f>
        <v>10</v>
      </c>
      <c r="Y1052" s="1570"/>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61162830</v>
      </c>
      <c r="AK1053" s="1581"/>
      <c r="AL1053" s="1581"/>
      <c r="AM1053" s="1581"/>
      <c r="AN1053" s="1581"/>
      <c r="AO1053" s="1581"/>
      <c r="AP1053" s="1581"/>
      <c r="AQ1053" s="1582"/>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39157045</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5107440.5999999996</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0.76782930517942716</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5107441</v>
      </c>
      <c r="BB1058" s="3" t="s">
        <v>2496</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2607441</v>
      </c>
      <c r="BB1059" s="3" t="s">
        <v>2497</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546</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Normal="100" workbookViewId="0">
      <selection activeCell="C4" sqref="C4"/>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2" t="s">
        <v>622</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374</v>
      </c>
      <c r="D2" s="138" t="s">
        <v>373</v>
      </c>
      <c r="E2" s="138" t="s">
        <v>24</v>
      </c>
      <c r="F2" s="139" t="str">
        <f>Application!B627&amp;Application!C627</f>
        <v>1)Citi Community Capital</v>
      </c>
      <c r="G2" s="139" t="str">
        <f>Application!B628&amp;Application!C628</f>
        <v>2)City of Woodland Seller Note</v>
      </c>
      <c r="H2" s="139" t="str">
        <f>Application!B629&amp;Application!C629</f>
        <v>3)City of Woodland Promissory Note</v>
      </c>
      <c r="I2" s="139" t="str">
        <f>Application!B630&amp;Application!C630</f>
        <v>4)CIC Opportunities Fund VI</v>
      </c>
      <c r="J2" s="139" t="str">
        <f>Application!B631&amp;Application!C631</f>
        <v>5)Deferred Developer Fees</v>
      </c>
      <c r="K2" s="139" t="str">
        <f>Application!B632&amp;Application!C632</f>
        <v>6)RR loans accrued interest</v>
      </c>
      <c r="L2" s="139" t="str">
        <f>Application!B633&amp;Application!C633</f>
        <v>7)Solar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3360000</v>
      </c>
      <c r="C4" s="147">
        <v>3360000</v>
      </c>
      <c r="D4" s="147"/>
      <c r="E4" s="147"/>
      <c r="F4" s="147"/>
      <c r="G4" s="147">
        <f>C4</f>
        <v>3360000</v>
      </c>
      <c r="H4" s="147"/>
      <c r="I4" s="147"/>
      <c r="J4" s="147"/>
      <c r="K4" s="147"/>
      <c r="L4" s="147"/>
      <c r="M4" s="147"/>
      <c r="N4" s="147"/>
      <c r="O4" s="147"/>
      <c r="P4" s="147"/>
      <c r="Q4" s="147"/>
      <c r="R4" s="516">
        <f>SUM(E4:Q4)</f>
        <v>3360000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3360000</v>
      </c>
      <c r="C8" s="146">
        <f t="shared" ref="C8:Q8" si="0">SUM(C4:C7)</f>
        <v>3360000</v>
      </c>
      <c r="D8" s="146">
        <f t="shared" si="0"/>
        <v>0</v>
      </c>
      <c r="E8" s="146">
        <f t="shared" si="0"/>
        <v>0</v>
      </c>
      <c r="F8" s="146">
        <f t="shared" si="0"/>
        <v>0</v>
      </c>
      <c r="G8" s="146">
        <f t="shared" si="0"/>
        <v>3360000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3360000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1068712</v>
      </c>
      <c r="C10" s="147">
        <v>1068712</v>
      </c>
      <c r="D10" s="147"/>
      <c r="E10" s="147">
        <f>C10-SUM(F10:L10)</f>
        <v>1068712</v>
      </c>
      <c r="F10" s="147"/>
      <c r="G10" s="147"/>
      <c r="H10" s="147"/>
      <c r="I10" s="147"/>
      <c r="J10" s="147"/>
      <c r="K10" s="147"/>
      <c r="L10" s="147"/>
      <c r="M10" s="147"/>
      <c r="N10" s="147"/>
      <c r="O10" s="147"/>
      <c r="P10" s="147"/>
      <c r="Q10" s="147"/>
      <c r="R10" s="516">
        <f>SUM(E10:Q10)</f>
        <v>1068712</v>
      </c>
      <c r="S10" s="147">
        <f>R10</f>
        <v>1068712</v>
      </c>
      <c r="T10" s="147"/>
      <c r="U10" s="143"/>
    </row>
    <row r="11" spans="1:21" s="144" customFormat="1">
      <c r="A11" s="149" t="s">
        <v>597</v>
      </c>
      <c r="B11" s="146">
        <f>SUM(C11:D11)</f>
        <v>1068712</v>
      </c>
      <c r="C11" s="146">
        <f t="shared" ref="C11:Q11" si="1">SUM(C9:C10)</f>
        <v>1068712</v>
      </c>
      <c r="D11" s="146">
        <f t="shared" si="1"/>
        <v>0</v>
      </c>
      <c r="E11" s="146">
        <f t="shared" si="1"/>
        <v>1068712</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1068712</v>
      </c>
      <c r="S11" s="148"/>
      <c r="T11" s="150">
        <f>SUM(T9:T10)</f>
        <v>0</v>
      </c>
      <c r="U11" s="143"/>
    </row>
    <row r="12" spans="1:21" s="144" customFormat="1">
      <c r="A12" s="149" t="s">
        <v>84</v>
      </c>
      <c r="B12" s="146">
        <f t="shared" ref="B12:Q12" si="2">SUM(B8+B11)</f>
        <v>4428712</v>
      </c>
      <c r="C12" s="146">
        <f t="shared" si="2"/>
        <v>4428712</v>
      </c>
      <c r="D12" s="146">
        <f t="shared" si="2"/>
        <v>0</v>
      </c>
      <c r="E12" s="146">
        <f t="shared" si="2"/>
        <v>1068712</v>
      </c>
      <c r="F12" s="146">
        <f t="shared" si="2"/>
        <v>0</v>
      </c>
      <c r="G12" s="146">
        <f t="shared" si="2"/>
        <v>3360000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4428712</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1440000</v>
      </c>
      <c r="C29" s="147">
        <v>1440000</v>
      </c>
      <c r="D29" s="147"/>
      <c r="E29" s="147">
        <f t="shared" ref="E29:E33" si="7">C29-SUM(F29:L29)</f>
        <v>0</v>
      </c>
      <c r="F29" s="147">
        <v>1440000</v>
      </c>
      <c r="G29" s="147"/>
      <c r="H29" s="147"/>
      <c r="I29" s="147"/>
      <c r="J29" s="147"/>
      <c r="K29" s="147"/>
      <c r="L29" s="147"/>
      <c r="M29" s="147"/>
      <c r="N29" s="147"/>
      <c r="O29" s="147"/>
      <c r="P29" s="147"/>
      <c r="Q29" s="147"/>
      <c r="R29" s="516">
        <f t="shared" ref="R29:R37" si="8">SUM(E29:Q29)</f>
        <v>1440000</v>
      </c>
      <c r="S29" s="147">
        <v>1440000</v>
      </c>
      <c r="T29" s="147"/>
      <c r="U29" s="143"/>
    </row>
    <row r="30" spans="1:21" s="144" customFormat="1">
      <c r="A30" s="145" t="s">
        <v>600</v>
      </c>
      <c r="B30" s="146">
        <f t="shared" si="6"/>
        <v>19814656</v>
      </c>
      <c r="C30" s="147">
        <v>19814656</v>
      </c>
      <c r="D30" s="147"/>
      <c r="E30" s="147">
        <f t="shared" si="7"/>
        <v>4621851</v>
      </c>
      <c r="F30" s="147">
        <f>F108-F29</f>
        <v>11950000</v>
      </c>
      <c r="G30" s="147"/>
      <c r="H30" s="147">
        <v>1700000</v>
      </c>
      <c r="I30" s="147">
        <v>1400000</v>
      </c>
      <c r="J30" s="147"/>
      <c r="K30" s="147"/>
      <c r="L30" s="147">
        <f>ROUND(Application!AO633,0)</f>
        <v>142805</v>
      </c>
      <c r="M30" s="147"/>
      <c r="N30" s="147"/>
      <c r="O30" s="147"/>
      <c r="P30" s="147"/>
      <c r="Q30" s="147"/>
      <c r="R30" s="516">
        <f t="shared" si="8"/>
        <v>19814656</v>
      </c>
      <c r="S30" s="147">
        <f t="shared" ref="S30:S33" si="9">R30</f>
        <v>19814656</v>
      </c>
      <c r="T30" s="147"/>
      <c r="U30" s="143"/>
    </row>
    <row r="31" spans="1:21" s="144" customFormat="1">
      <c r="A31" s="145" t="s">
        <v>601</v>
      </c>
      <c r="B31" s="146">
        <f t="shared" si="6"/>
        <v>892935</v>
      </c>
      <c r="C31" s="147">
        <v>892935</v>
      </c>
      <c r="D31" s="147"/>
      <c r="E31" s="147">
        <f t="shared" si="7"/>
        <v>892935</v>
      </c>
      <c r="F31" s="147"/>
      <c r="G31" s="147"/>
      <c r="H31" s="147"/>
      <c r="I31" s="147"/>
      <c r="J31" s="147"/>
      <c r="K31" s="147"/>
      <c r="L31" s="147"/>
      <c r="M31" s="147"/>
      <c r="N31" s="147"/>
      <c r="O31" s="147"/>
      <c r="P31" s="147"/>
      <c r="Q31" s="147"/>
      <c r="R31" s="516">
        <f t="shared" si="8"/>
        <v>892935</v>
      </c>
      <c r="S31" s="147">
        <f t="shared" si="9"/>
        <v>892935</v>
      </c>
      <c r="T31" s="147"/>
      <c r="U31" s="143"/>
    </row>
    <row r="32" spans="1:21" s="144" customFormat="1">
      <c r="A32" s="145" t="s">
        <v>137</v>
      </c>
      <c r="B32" s="146">
        <f t="shared" si="6"/>
        <v>669701</v>
      </c>
      <c r="C32" s="147">
        <v>669701</v>
      </c>
      <c r="D32" s="147"/>
      <c r="E32" s="147">
        <f t="shared" si="7"/>
        <v>669701</v>
      </c>
      <c r="F32" s="147"/>
      <c r="G32" s="147"/>
      <c r="H32" s="147"/>
      <c r="I32" s="147"/>
      <c r="J32" s="147"/>
      <c r="K32" s="147"/>
      <c r="L32" s="147"/>
      <c r="M32" s="147"/>
      <c r="N32" s="147"/>
      <c r="O32" s="147"/>
      <c r="P32" s="147"/>
      <c r="Q32" s="147"/>
      <c r="R32" s="516">
        <f t="shared" si="8"/>
        <v>669701</v>
      </c>
      <c r="S32" s="147">
        <f t="shared" si="9"/>
        <v>669701</v>
      </c>
      <c r="T32" s="147"/>
      <c r="U32" s="143"/>
    </row>
    <row r="33" spans="1:21" s="144" customFormat="1">
      <c r="A33" s="145" t="s">
        <v>138</v>
      </c>
      <c r="B33" s="146">
        <f t="shared" si="6"/>
        <v>1562636</v>
      </c>
      <c r="C33" s="147">
        <v>1562636</v>
      </c>
      <c r="D33" s="147"/>
      <c r="E33" s="147">
        <f t="shared" si="7"/>
        <v>1562636</v>
      </c>
      <c r="F33" s="147"/>
      <c r="G33" s="147"/>
      <c r="H33" s="147"/>
      <c r="I33" s="147"/>
      <c r="J33" s="147"/>
      <c r="K33" s="147"/>
      <c r="L33" s="147"/>
      <c r="M33" s="147"/>
      <c r="N33" s="147"/>
      <c r="O33" s="147"/>
      <c r="P33" s="147"/>
      <c r="Q33" s="147"/>
      <c r="R33" s="516">
        <f t="shared" si="8"/>
        <v>1562636</v>
      </c>
      <c r="S33" s="147">
        <f t="shared" si="9"/>
        <v>1562636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8"/>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8"/>
        <v>0</v>
      </c>
      <c r="S35" s="147"/>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8"/>
        <v>0</v>
      </c>
      <c r="S36" s="147"/>
      <c r="T36" s="147"/>
      <c r="U36" s="143"/>
    </row>
    <row r="37" spans="1:21" s="144" customFormat="1">
      <c r="A37" s="1149" t="s">
        <v>2723</v>
      </c>
      <c r="B37" s="146">
        <f t="shared" si="6"/>
        <v>307200</v>
      </c>
      <c r="C37" s="147">
        <v>307200</v>
      </c>
      <c r="D37" s="147"/>
      <c r="E37" s="147">
        <f t="shared" ref="E37" si="10">C37-SUM(F37:L37)</f>
        <v>307200</v>
      </c>
      <c r="F37" s="147"/>
      <c r="G37" s="147"/>
      <c r="H37" s="147"/>
      <c r="I37" s="147"/>
      <c r="J37" s="147"/>
      <c r="K37" s="147"/>
      <c r="L37" s="147"/>
      <c r="M37" s="147"/>
      <c r="N37" s="147"/>
      <c r="O37" s="147"/>
      <c r="P37" s="147"/>
      <c r="Q37" s="147"/>
      <c r="R37" s="516">
        <f t="shared" si="8"/>
        <v>307200</v>
      </c>
      <c r="S37" s="147">
        <f>R37</f>
        <v>307200</v>
      </c>
      <c r="T37" s="147"/>
      <c r="U37" s="143"/>
    </row>
    <row r="38" spans="1:21" s="144" customFormat="1">
      <c r="A38" s="149" t="s">
        <v>143</v>
      </c>
      <c r="B38" s="146">
        <f t="shared" si="6"/>
        <v>24687128</v>
      </c>
      <c r="C38" s="146">
        <f>SUM(C29:C37)</f>
        <v>24687128</v>
      </c>
      <c r="D38" s="146">
        <f t="shared" ref="D38:Q38" si="11">SUM(D29:D37)</f>
        <v>0</v>
      </c>
      <c r="E38" s="146">
        <f t="shared" si="11"/>
        <v>8054323</v>
      </c>
      <c r="F38" s="146">
        <f t="shared" si="11"/>
        <v>13390000</v>
      </c>
      <c r="G38" s="146">
        <f t="shared" si="11"/>
        <v>0</v>
      </c>
      <c r="H38" s="146">
        <f t="shared" si="11"/>
        <v>1700000</v>
      </c>
      <c r="I38" s="146">
        <f t="shared" si="11"/>
        <v>1400000</v>
      </c>
      <c r="J38" s="146">
        <f t="shared" si="11"/>
        <v>0</v>
      </c>
      <c r="K38" s="146">
        <f t="shared" si="11"/>
        <v>0</v>
      </c>
      <c r="L38" s="146">
        <f t="shared" si="11"/>
        <v>142805</v>
      </c>
      <c r="M38" s="146">
        <f t="shared" si="11"/>
        <v>0</v>
      </c>
      <c r="N38" s="146">
        <f t="shared" si="11"/>
        <v>0</v>
      </c>
      <c r="O38" s="146">
        <f t="shared" si="11"/>
        <v>0</v>
      </c>
      <c r="P38" s="146">
        <f t="shared" si="11"/>
        <v>0</v>
      </c>
      <c r="Q38" s="146">
        <f t="shared" si="11"/>
        <v>0</v>
      </c>
      <c r="R38" s="342">
        <f>SUM(R29:R37)</f>
        <v>24687128</v>
      </c>
      <c r="S38" s="150">
        <f>SUM(S29:S37)</f>
        <v>24687128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300000</v>
      </c>
      <c r="C40" s="147">
        <v>300000</v>
      </c>
      <c r="D40" s="147"/>
      <c r="E40" s="147">
        <f t="shared" ref="E40" si="12">C40-SUM(F40:L40)</f>
        <v>300000</v>
      </c>
      <c r="F40" s="147"/>
      <c r="G40" s="147"/>
      <c r="H40" s="147"/>
      <c r="I40" s="147"/>
      <c r="J40" s="147"/>
      <c r="K40" s="147"/>
      <c r="L40" s="147"/>
      <c r="M40" s="147"/>
      <c r="N40" s="147"/>
      <c r="O40" s="147"/>
      <c r="P40" s="147"/>
      <c r="Q40" s="147"/>
      <c r="R40" s="516">
        <f>SUM(E40:Q40)</f>
        <v>300000</v>
      </c>
      <c r="S40" s="147">
        <f>R40</f>
        <v>300000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300000</v>
      </c>
      <c r="C42" s="146">
        <f>SUM(C39:C41)</f>
        <v>300000</v>
      </c>
      <c r="D42" s="146">
        <f>SUM(D39:D41)</f>
        <v>0</v>
      </c>
      <c r="E42" s="146">
        <f t="shared" ref="E42:T42" si="13">SUM(E40:E41)</f>
        <v>300000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42">
        <f>SUM(R40:R41)</f>
        <v>300000</v>
      </c>
      <c r="S42" s="150">
        <f t="shared" si="13"/>
        <v>300000</v>
      </c>
      <c r="T42" s="150">
        <f t="shared" si="13"/>
        <v>0</v>
      </c>
      <c r="U42" s="143"/>
    </row>
    <row r="43" spans="1:21" s="144" customFormat="1">
      <c r="A43" s="149" t="s">
        <v>148</v>
      </c>
      <c r="B43" s="146">
        <f>SUM(C43:D43)</f>
        <v>421500</v>
      </c>
      <c r="C43" s="147">
        <v>421500</v>
      </c>
      <c r="D43" s="147"/>
      <c r="E43" s="147">
        <f t="shared" ref="E43:E48" si="14">C43-SUM(F43:L43)</f>
        <v>421500</v>
      </c>
      <c r="F43" s="147"/>
      <c r="G43" s="147"/>
      <c r="H43" s="147"/>
      <c r="I43" s="147"/>
      <c r="J43" s="147"/>
      <c r="K43" s="147"/>
      <c r="L43" s="147"/>
      <c r="M43" s="147"/>
      <c r="N43" s="147"/>
      <c r="O43" s="147"/>
      <c r="P43" s="147"/>
      <c r="Q43" s="147"/>
      <c r="R43" s="516">
        <f>SUM(E43:Q43)</f>
        <v>421500</v>
      </c>
      <c r="S43" s="147">
        <f>R43</f>
        <v>421500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2897239</v>
      </c>
      <c r="C45" s="147">
        <v>2897239</v>
      </c>
      <c r="D45" s="147"/>
      <c r="E45" s="147">
        <f t="shared" si="14"/>
        <v>2593639</v>
      </c>
      <c r="F45" s="147"/>
      <c r="G45" s="147"/>
      <c r="H45" s="147"/>
      <c r="I45" s="147"/>
      <c r="J45" s="147"/>
      <c r="K45" s="147">
        <f>K108</f>
        <v>303600</v>
      </c>
      <c r="L45" s="147"/>
      <c r="M45" s="147"/>
      <c r="N45" s="147"/>
      <c r="O45" s="147"/>
      <c r="P45" s="147"/>
      <c r="Q45" s="147"/>
      <c r="R45" s="516">
        <f t="shared" ref="R45:R53" si="16">SUM(E45:Q45)</f>
        <v>2897239</v>
      </c>
      <c r="S45" s="147">
        <v>1788786</v>
      </c>
      <c r="T45" s="147"/>
      <c r="U45" s="143"/>
    </row>
    <row r="46" spans="1:21" s="144" customFormat="1">
      <c r="A46" s="145" t="s">
        <v>151</v>
      </c>
      <c r="B46" s="146">
        <f t="shared" si="15"/>
        <v>385172</v>
      </c>
      <c r="C46" s="147">
        <v>385172</v>
      </c>
      <c r="D46" s="147"/>
      <c r="E46" s="147">
        <f t="shared" si="14"/>
        <v>385172</v>
      </c>
      <c r="F46" s="147"/>
      <c r="G46" s="147"/>
      <c r="H46" s="147"/>
      <c r="I46" s="147"/>
      <c r="J46" s="147"/>
      <c r="K46" s="147"/>
      <c r="L46" s="147"/>
      <c r="M46" s="147"/>
      <c r="N46" s="147"/>
      <c r="O46" s="147"/>
      <c r="P46" s="147"/>
      <c r="Q46" s="147"/>
      <c r="R46" s="516">
        <f t="shared" si="16"/>
        <v>385172</v>
      </c>
      <c r="S46" s="147">
        <v>288879</v>
      </c>
      <c r="T46" s="147"/>
      <c r="U46" s="143"/>
    </row>
    <row r="47" spans="1:21" s="144" customFormat="1">
      <c r="A47" s="186" t="s">
        <v>152</v>
      </c>
      <c r="B47" s="146">
        <f t="shared" si="15"/>
        <v>0</v>
      </c>
      <c r="C47" s="147"/>
      <c r="D47" s="147"/>
      <c r="E47" s="147"/>
      <c r="F47" s="147"/>
      <c r="G47" s="147"/>
      <c r="H47" s="147"/>
      <c r="I47" s="147"/>
      <c r="J47" s="147"/>
      <c r="K47" s="147"/>
      <c r="L47" s="147"/>
      <c r="M47" s="147"/>
      <c r="N47" s="147"/>
      <c r="O47" s="147"/>
      <c r="P47" s="147"/>
      <c r="Q47" s="147"/>
      <c r="R47" s="516">
        <f t="shared" si="16"/>
        <v>0</v>
      </c>
      <c r="S47" s="147"/>
      <c r="T47" s="147"/>
      <c r="U47" s="143"/>
    </row>
    <row r="48" spans="1:21" s="144" customFormat="1">
      <c r="A48" s="145" t="s">
        <v>153</v>
      </c>
      <c r="B48" s="146">
        <f t="shared" si="15"/>
        <v>210000</v>
      </c>
      <c r="C48" s="147">
        <v>210000</v>
      </c>
      <c r="D48" s="147"/>
      <c r="E48" s="147">
        <f t="shared" si="14"/>
        <v>210000</v>
      </c>
      <c r="F48" s="147"/>
      <c r="G48" s="147"/>
      <c r="H48" s="147"/>
      <c r="I48" s="147"/>
      <c r="J48" s="147"/>
      <c r="K48" s="147"/>
      <c r="L48" s="147"/>
      <c r="M48" s="147"/>
      <c r="N48" s="147"/>
      <c r="O48" s="147"/>
      <c r="P48" s="147"/>
      <c r="Q48" s="147"/>
      <c r="R48" s="516">
        <f t="shared" si="16"/>
        <v>210000</v>
      </c>
      <c r="S48" s="147">
        <v>157500</v>
      </c>
      <c r="T48" s="147"/>
      <c r="U48" s="143"/>
    </row>
    <row r="49" spans="1:21" s="144" customFormat="1">
      <c r="A49" s="145" t="s">
        <v>57</v>
      </c>
      <c r="B49" s="146">
        <f t="shared" si="15"/>
        <v>0</v>
      </c>
      <c r="C49" s="147"/>
      <c r="D49" s="147"/>
      <c r="E49" s="147"/>
      <c r="F49" s="147"/>
      <c r="G49" s="147"/>
      <c r="H49" s="147"/>
      <c r="I49" s="147"/>
      <c r="J49" s="147"/>
      <c r="K49" s="147"/>
      <c r="L49" s="147"/>
      <c r="M49" s="147"/>
      <c r="N49" s="147"/>
      <c r="O49" s="147"/>
      <c r="P49" s="147"/>
      <c r="Q49" s="147"/>
      <c r="R49" s="516">
        <f t="shared" si="16"/>
        <v>0</v>
      </c>
      <c r="S49" s="147"/>
      <c r="T49" s="147"/>
      <c r="U49" s="143"/>
    </row>
    <row r="50" spans="1:21" s="144" customFormat="1">
      <c r="A50" s="145" t="s">
        <v>156</v>
      </c>
      <c r="B50" s="146">
        <f t="shared" si="15"/>
        <v>0</v>
      </c>
      <c r="C50" s="147"/>
      <c r="D50" s="147"/>
      <c r="E50" s="147"/>
      <c r="F50" s="147"/>
      <c r="G50" s="147"/>
      <c r="H50" s="147"/>
      <c r="I50" s="147"/>
      <c r="J50" s="147"/>
      <c r="K50" s="147"/>
      <c r="L50" s="147"/>
      <c r="M50" s="147"/>
      <c r="N50" s="147"/>
      <c r="O50" s="147"/>
      <c r="P50" s="147"/>
      <c r="Q50" s="147"/>
      <c r="R50" s="516">
        <f t="shared" si="16"/>
        <v>0</v>
      </c>
      <c r="S50" s="147"/>
      <c r="T50" s="147"/>
      <c r="U50" s="143"/>
    </row>
    <row r="51" spans="1:21" s="144" customFormat="1">
      <c r="A51" s="283" t="s">
        <v>154</v>
      </c>
      <c r="B51" s="146">
        <f t="shared" si="15"/>
        <v>154500</v>
      </c>
      <c r="C51" s="147">
        <v>154500</v>
      </c>
      <c r="D51" s="147"/>
      <c r="E51" s="147">
        <f t="shared" ref="E51:E53" si="17">C51-SUM(F51:L51)</f>
        <v>154500</v>
      </c>
      <c r="F51" s="147"/>
      <c r="G51" s="147"/>
      <c r="H51" s="147"/>
      <c r="I51" s="147"/>
      <c r="J51" s="147"/>
      <c r="K51" s="147"/>
      <c r="L51" s="147"/>
      <c r="M51" s="147"/>
      <c r="N51" s="147"/>
      <c r="O51" s="147"/>
      <c r="P51" s="147"/>
      <c r="Q51" s="147"/>
      <c r="R51" s="516">
        <f t="shared" si="16"/>
        <v>154500</v>
      </c>
      <c r="S51" s="147">
        <v>115875</v>
      </c>
      <c r="T51" s="147"/>
      <c r="U51" s="143"/>
    </row>
    <row r="52" spans="1:21" s="144" customFormat="1">
      <c r="A52" s="145" t="s">
        <v>155</v>
      </c>
      <c r="B52" s="146">
        <f t="shared" si="15"/>
        <v>450000</v>
      </c>
      <c r="C52" s="147">
        <v>450000</v>
      </c>
      <c r="D52" s="147"/>
      <c r="E52" s="147">
        <f t="shared" si="17"/>
        <v>450000</v>
      </c>
      <c r="F52" s="147"/>
      <c r="G52" s="147"/>
      <c r="H52" s="147"/>
      <c r="I52" s="147"/>
      <c r="J52" s="147"/>
      <c r="K52" s="147"/>
      <c r="L52" s="147"/>
      <c r="M52" s="147"/>
      <c r="N52" s="147"/>
      <c r="O52" s="147"/>
      <c r="P52" s="147"/>
      <c r="Q52" s="147"/>
      <c r="R52" s="516">
        <f t="shared" si="16"/>
        <v>450000</v>
      </c>
      <c r="S52" s="147">
        <v>450000</v>
      </c>
      <c r="T52" s="147"/>
      <c r="U52" s="143"/>
    </row>
    <row r="53" spans="1:21" s="144" customFormat="1">
      <c r="A53" s="1149" t="s">
        <v>2722</v>
      </c>
      <c r="B53" s="146">
        <f t="shared" si="15"/>
        <v>53500</v>
      </c>
      <c r="C53" s="147">
        <v>53500</v>
      </c>
      <c r="D53" s="147"/>
      <c r="E53" s="147">
        <f t="shared" si="17"/>
        <v>53500</v>
      </c>
      <c r="F53" s="147"/>
      <c r="G53" s="147"/>
      <c r="H53" s="147"/>
      <c r="I53" s="147"/>
      <c r="J53" s="147"/>
      <c r="K53" s="147"/>
      <c r="L53" s="147"/>
      <c r="M53" s="147"/>
      <c r="N53" s="147"/>
      <c r="O53" s="147"/>
      <c r="P53" s="147"/>
      <c r="Q53" s="147"/>
      <c r="R53" s="516">
        <f t="shared" si="16"/>
        <v>53500</v>
      </c>
      <c r="S53" s="147">
        <v>53500</v>
      </c>
      <c r="T53" s="147"/>
      <c r="U53" s="143"/>
    </row>
    <row r="54" spans="1:21" s="153" customFormat="1">
      <c r="A54" s="149" t="s">
        <v>157</v>
      </c>
      <c r="B54" s="150">
        <f>SUM(C54:D54)</f>
        <v>4150411</v>
      </c>
      <c r="C54" s="150">
        <f t="shared" ref="C54:T54" si="18">SUM(C45:C53)</f>
        <v>4150411</v>
      </c>
      <c r="D54" s="150">
        <f t="shared" si="18"/>
        <v>0</v>
      </c>
      <c r="E54" s="150">
        <f t="shared" si="18"/>
        <v>3846811</v>
      </c>
      <c r="F54" s="150">
        <f t="shared" si="18"/>
        <v>0</v>
      </c>
      <c r="G54" s="150">
        <f t="shared" si="18"/>
        <v>0</v>
      </c>
      <c r="H54" s="150">
        <f t="shared" si="18"/>
        <v>0</v>
      </c>
      <c r="I54" s="150">
        <f t="shared" si="18"/>
        <v>0</v>
      </c>
      <c r="J54" s="150">
        <f t="shared" si="18"/>
        <v>0</v>
      </c>
      <c r="K54" s="150">
        <f t="shared" si="18"/>
        <v>303600</v>
      </c>
      <c r="L54" s="150">
        <f t="shared" si="18"/>
        <v>0</v>
      </c>
      <c r="M54" s="150">
        <f t="shared" si="18"/>
        <v>0</v>
      </c>
      <c r="N54" s="150">
        <f t="shared" si="18"/>
        <v>0</v>
      </c>
      <c r="O54" s="150">
        <f t="shared" si="18"/>
        <v>0</v>
      </c>
      <c r="P54" s="150">
        <f t="shared" si="18"/>
        <v>0</v>
      </c>
      <c r="Q54" s="150">
        <f t="shared" si="18"/>
        <v>0</v>
      </c>
      <c r="R54" s="342">
        <f t="shared" si="18"/>
        <v>4150411</v>
      </c>
      <c r="S54" s="150">
        <f t="shared" si="18"/>
        <v>2854540</v>
      </c>
      <c r="T54" s="150">
        <f t="shared" si="18"/>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100425</v>
      </c>
      <c r="C56" s="147">
        <v>100425</v>
      </c>
      <c r="D56" s="147"/>
      <c r="E56" s="147">
        <f t="shared" ref="E56" si="20">C56-SUM(F56:L56)</f>
        <v>100425</v>
      </c>
      <c r="F56" s="147"/>
      <c r="G56" s="147"/>
      <c r="H56" s="147"/>
      <c r="I56" s="147"/>
      <c r="J56" s="147"/>
      <c r="K56" s="147"/>
      <c r="L56" s="147"/>
      <c r="M56" s="147"/>
      <c r="N56" s="147"/>
      <c r="O56" s="147"/>
      <c r="P56" s="147"/>
      <c r="Q56" s="147"/>
      <c r="R56" s="516">
        <f t="shared" ref="R56:R61" si="21">SUM(E56:Q56)</f>
        <v>100425</v>
      </c>
      <c r="S56" s="148"/>
      <c r="T56" s="148"/>
      <c r="U56" s="143"/>
    </row>
    <row r="57" spans="1:21" s="192" customFormat="1">
      <c r="A57" s="186" t="s">
        <v>152</v>
      </c>
      <c r="B57" s="193">
        <f t="shared" si="19"/>
        <v>0</v>
      </c>
      <c r="C57" s="190"/>
      <c r="D57" s="190"/>
      <c r="E57" s="190"/>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19"/>
        <v>5000</v>
      </c>
      <c r="C58" s="147">
        <v>5000</v>
      </c>
      <c r="D58" s="147"/>
      <c r="E58" s="147">
        <f t="shared" ref="E58" si="22">C58-SUM(F58:L58)</f>
        <v>5000</v>
      </c>
      <c r="F58" s="147"/>
      <c r="G58" s="147"/>
      <c r="H58" s="147"/>
      <c r="I58" s="147"/>
      <c r="J58" s="147"/>
      <c r="K58" s="147"/>
      <c r="L58" s="147"/>
      <c r="M58" s="147"/>
      <c r="N58" s="147"/>
      <c r="O58" s="147"/>
      <c r="P58" s="147"/>
      <c r="Q58" s="147"/>
      <c r="R58" s="516">
        <f t="shared" si="21"/>
        <v>5000</v>
      </c>
      <c r="S58" s="148"/>
      <c r="T58" s="148"/>
      <c r="U58" s="143"/>
    </row>
    <row r="59" spans="1:21" s="144" customFormat="1">
      <c r="A59" s="283" t="s">
        <v>154</v>
      </c>
      <c r="B59" s="146">
        <f t="shared" si="19"/>
        <v>0</v>
      </c>
      <c r="C59" s="147"/>
      <c r="D59" s="147"/>
      <c r="E59" s="147"/>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16">
        <f t="shared" si="21"/>
        <v>0</v>
      </c>
      <c r="S60" s="148"/>
      <c r="T60" s="148"/>
      <c r="U60" s="143"/>
    </row>
    <row r="61" spans="1:21" s="144" customFormat="1">
      <c r="A61" s="1149" t="s">
        <v>2724</v>
      </c>
      <c r="B61" s="146">
        <f t="shared" si="19"/>
        <v>98000</v>
      </c>
      <c r="C61" s="147">
        <v>98000</v>
      </c>
      <c r="D61" s="147"/>
      <c r="E61" s="147">
        <f t="shared" ref="E61" si="23">C61-SUM(F61:L61)</f>
        <v>98000</v>
      </c>
      <c r="F61" s="147"/>
      <c r="G61" s="147"/>
      <c r="H61" s="147"/>
      <c r="I61" s="147"/>
      <c r="J61" s="147"/>
      <c r="K61" s="147"/>
      <c r="L61" s="147"/>
      <c r="M61" s="147"/>
      <c r="N61" s="147"/>
      <c r="O61" s="147"/>
      <c r="P61" s="147"/>
      <c r="Q61" s="147"/>
      <c r="R61" s="516">
        <f t="shared" si="21"/>
        <v>98000</v>
      </c>
      <c r="S61" s="148"/>
      <c r="T61" s="148"/>
      <c r="U61" s="143"/>
    </row>
    <row r="62" spans="1:21" s="144" customFormat="1" ht="13.7" customHeight="1">
      <c r="A62" s="149" t="s">
        <v>301</v>
      </c>
      <c r="B62" s="146">
        <f>SUM(C62:D62)</f>
        <v>203425</v>
      </c>
      <c r="C62" s="146">
        <f t="shared" ref="C62:R62" si="24">SUM(C56:C61)</f>
        <v>203425</v>
      </c>
      <c r="D62" s="146">
        <f t="shared" si="24"/>
        <v>0</v>
      </c>
      <c r="E62" s="146">
        <f t="shared" si="24"/>
        <v>203425</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203425</v>
      </c>
      <c r="S62" s="148"/>
      <c r="T62" s="148"/>
      <c r="U62" s="143"/>
    </row>
    <row r="63" spans="1:21" s="144" customFormat="1">
      <c r="A63" s="154" t="s">
        <v>302</v>
      </c>
      <c r="B63" s="146">
        <f t="shared" ref="B63:R63" si="25">SUM(B8+B11+B13+B14+B15+B26+B27+B38+B42+B43+B54+B62)</f>
        <v>34191176</v>
      </c>
      <c r="C63" s="146">
        <f t="shared" si="25"/>
        <v>34191176</v>
      </c>
      <c r="D63" s="146">
        <f t="shared" si="25"/>
        <v>0</v>
      </c>
      <c r="E63" s="146">
        <f t="shared" si="25"/>
        <v>13894771</v>
      </c>
      <c r="F63" s="146">
        <f t="shared" si="25"/>
        <v>13390000</v>
      </c>
      <c r="G63" s="146">
        <f t="shared" si="25"/>
        <v>3360000</v>
      </c>
      <c r="H63" s="146">
        <f t="shared" si="25"/>
        <v>1700000</v>
      </c>
      <c r="I63" s="146">
        <f t="shared" si="25"/>
        <v>1400000</v>
      </c>
      <c r="J63" s="146">
        <f t="shared" si="25"/>
        <v>0</v>
      </c>
      <c r="K63" s="146">
        <f t="shared" si="25"/>
        <v>303600</v>
      </c>
      <c r="L63" s="146">
        <f t="shared" si="25"/>
        <v>142805</v>
      </c>
      <c r="M63" s="146">
        <f t="shared" si="25"/>
        <v>0</v>
      </c>
      <c r="N63" s="146">
        <f t="shared" si="25"/>
        <v>0</v>
      </c>
      <c r="O63" s="146">
        <f t="shared" si="25"/>
        <v>0</v>
      </c>
      <c r="P63" s="146">
        <f t="shared" si="25"/>
        <v>0</v>
      </c>
      <c r="Q63" s="146">
        <f t="shared" si="25"/>
        <v>0</v>
      </c>
      <c r="R63" s="342">
        <f t="shared" si="25"/>
        <v>34191176</v>
      </c>
      <c r="S63" s="146">
        <f>SUM(S10+S13+S14+S15+S26+S27+S38+S42+S43+S54)</f>
        <v>29331880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260000</v>
      </c>
      <c r="C65" s="147">
        <v>260000</v>
      </c>
      <c r="D65" s="147"/>
      <c r="E65" s="147">
        <f t="shared" ref="E65" si="26">C65-SUM(F65:L65)</f>
        <v>260000</v>
      </c>
      <c r="F65" s="147"/>
      <c r="G65" s="147"/>
      <c r="H65" s="147"/>
      <c r="I65" s="147"/>
      <c r="J65" s="147"/>
      <c r="K65" s="147"/>
      <c r="L65" s="147"/>
      <c r="M65" s="147"/>
      <c r="N65" s="147"/>
      <c r="O65" s="147"/>
      <c r="P65" s="147"/>
      <c r="Q65" s="147"/>
      <c r="R65" s="516">
        <f>SUM(E65:Q65)</f>
        <v>260000</v>
      </c>
      <c r="S65" s="147">
        <v>112350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260000</v>
      </c>
      <c r="C70" s="146">
        <f>SUM(C65:C69)</f>
        <v>260000</v>
      </c>
      <c r="D70" s="146">
        <f>SUM(D65:D69)</f>
        <v>0</v>
      </c>
      <c r="E70" s="146">
        <f t="shared" ref="E70:T70" si="27">SUM(E65:E69)</f>
        <v>260000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260000</v>
      </c>
      <c r="S70" s="150">
        <f t="shared" si="27"/>
        <v>112350</v>
      </c>
      <c r="T70" s="150">
        <f t="shared" si="2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348001</v>
      </c>
      <c r="C75" s="147">
        <v>348001</v>
      </c>
      <c r="D75" s="147"/>
      <c r="E75" s="147">
        <f t="shared" ref="E75" si="28">C75-SUM(F75:L75)</f>
        <v>348001</v>
      </c>
      <c r="F75" s="147"/>
      <c r="G75" s="147"/>
      <c r="H75" s="147"/>
      <c r="I75" s="147"/>
      <c r="J75" s="147"/>
      <c r="K75" s="147"/>
      <c r="L75" s="147"/>
      <c r="M75" s="147"/>
      <c r="N75" s="147"/>
      <c r="O75" s="147"/>
      <c r="P75" s="147"/>
      <c r="Q75" s="147"/>
      <c r="R75" s="516">
        <f>SUM(E75:Q75)</f>
        <v>348001</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348001</v>
      </c>
      <c r="C77" s="146">
        <f>SUM(C72:C76)</f>
        <v>348001</v>
      </c>
      <c r="D77" s="146">
        <f>SUM(D72:D76)</f>
        <v>0</v>
      </c>
      <c r="E77" s="146">
        <f t="shared" ref="E77:Q77" si="29">SUM(E72:E76)</f>
        <v>348001</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348001</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1272432</v>
      </c>
      <c r="C79" s="147">
        <v>1272432</v>
      </c>
      <c r="D79" s="147"/>
      <c r="E79" s="147">
        <f t="shared" ref="E79:E80" si="30">C79-SUM(F79:L79)</f>
        <v>1272432</v>
      </c>
      <c r="F79" s="147"/>
      <c r="G79" s="147"/>
      <c r="H79" s="147"/>
      <c r="I79" s="147"/>
      <c r="J79" s="147"/>
      <c r="K79" s="147"/>
      <c r="L79" s="147"/>
      <c r="M79" s="147"/>
      <c r="N79" s="147"/>
      <c r="O79" s="147"/>
      <c r="P79" s="147"/>
      <c r="Q79" s="147"/>
      <c r="R79" s="516">
        <f>SUM(E79:Q79)</f>
        <v>1272432</v>
      </c>
      <c r="S79" s="147">
        <f>R79</f>
        <v>1272432</v>
      </c>
      <c r="T79" s="147"/>
      <c r="U79" s="143"/>
    </row>
    <row r="80" spans="1:21" s="144" customFormat="1">
      <c r="A80" s="283" t="s">
        <v>58</v>
      </c>
      <c r="B80" s="146">
        <f>SUM(C80:D80)</f>
        <v>272732</v>
      </c>
      <c r="C80" s="147">
        <v>272732</v>
      </c>
      <c r="D80" s="147"/>
      <c r="E80" s="147">
        <f t="shared" si="30"/>
        <v>272732</v>
      </c>
      <c r="F80" s="147"/>
      <c r="G80" s="147"/>
      <c r="H80" s="147"/>
      <c r="I80" s="147"/>
      <c r="J80" s="147"/>
      <c r="K80" s="147"/>
      <c r="L80" s="147"/>
      <c r="M80" s="147"/>
      <c r="N80" s="147"/>
      <c r="O80" s="147"/>
      <c r="P80" s="147"/>
      <c r="Q80" s="147"/>
      <c r="R80" s="516">
        <f>SUM(E80:Q80)</f>
        <v>272732</v>
      </c>
      <c r="S80" s="147">
        <f>R80</f>
        <v>272732</v>
      </c>
      <c r="T80" s="147"/>
      <c r="U80" s="143"/>
    </row>
    <row r="81" spans="1:21" s="144" customFormat="1">
      <c r="A81" s="149" t="s">
        <v>1210</v>
      </c>
      <c r="B81" s="146">
        <f>SUM(C81:D81)</f>
        <v>1545164</v>
      </c>
      <c r="C81" s="509">
        <f>SUM(C79:C80)</f>
        <v>1545164</v>
      </c>
      <c r="D81" s="509">
        <f t="shared" ref="D81:T81" si="31">SUM(D79:D80)</f>
        <v>0</v>
      </c>
      <c r="E81" s="509">
        <f t="shared" si="31"/>
        <v>1545164</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1545164</v>
      </c>
      <c r="S81" s="509">
        <f t="shared" si="31"/>
        <v>1545164</v>
      </c>
      <c r="T81" s="509">
        <f t="shared" si="31"/>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2">SUM(C83+D83)</f>
        <v>111213</v>
      </c>
      <c r="C83" s="147">
        <v>111213</v>
      </c>
      <c r="D83" s="147"/>
      <c r="E83" s="147">
        <f t="shared" ref="E83:E86" si="33">C83-SUM(F83:L83)</f>
        <v>111213</v>
      </c>
      <c r="F83" s="147"/>
      <c r="G83" s="147"/>
      <c r="H83" s="147"/>
      <c r="I83" s="147"/>
      <c r="J83" s="147"/>
      <c r="K83" s="147"/>
      <c r="L83" s="147"/>
      <c r="M83" s="147"/>
      <c r="N83" s="147"/>
      <c r="O83" s="147"/>
      <c r="P83" s="147"/>
      <c r="Q83" s="147"/>
      <c r="R83" s="516">
        <f t="shared" ref="R83:R95" si="34">SUM(E83:Q83)</f>
        <v>111213</v>
      </c>
      <c r="S83" s="148"/>
      <c r="T83" s="148"/>
      <c r="U83" s="143"/>
    </row>
    <row r="84" spans="1:21" s="144" customFormat="1">
      <c r="A84" s="145" t="s">
        <v>768</v>
      </c>
      <c r="B84" s="146">
        <f t="shared" si="32"/>
        <v>4500</v>
      </c>
      <c r="C84" s="147">
        <v>4500</v>
      </c>
      <c r="D84" s="147"/>
      <c r="E84" s="147">
        <f t="shared" si="33"/>
        <v>4500</v>
      </c>
      <c r="F84" s="147"/>
      <c r="G84" s="147"/>
      <c r="H84" s="147"/>
      <c r="I84" s="147"/>
      <c r="J84" s="147"/>
      <c r="K84" s="147"/>
      <c r="L84" s="147"/>
      <c r="M84" s="147"/>
      <c r="N84" s="147"/>
      <c r="O84" s="147"/>
      <c r="P84" s="147"/>
      <c r="Q84" s="147"/>
      <c r="R84" s="516">
        <f t="shared" si="34"/>
        <v>4500</v>
      </c>
      <c r="S84" s="147">
        <f>R84</f>
        <v>4500</v>
      </c>
      <c r="T84" s="147"/>
      <c r="U84" s="143"/>
    </row>
    <row r="85" spans="1:21" s="144" customFormat="1">
      <c r="A85" s="145" t="s">
        <v>769</v>
      </c>
      <c r="B85" s="146">
        <f t="shared" si="32"/>
        <v>2395810</v>
      </c>
      <c r="C85" s="147">
        <v>2395810</v>
      </c>
      <c r="D85" s="147"/>
      <c r="E85" s="147">
        <f t="shared" si="33"/>
        <v>2395810</v>
      </c>
      <c r="F85" s="147"/>
      <c r="G85" s="147"/>
      <c r="H85" s="147"/>
      <c r="I85" s="147"/>
      <c r="J85" s="147"/>
      <c r="K85" s="147"/>
      <c r="L85" s="147"/>
      <c r="M85" s="147"/>
      <c r="N85" s="147"/>
      <c r="O85" s="147"/>
      <c r="P85" s="147"/>
      <c r="Q85" s="147"/>
      <c r="R85" s="516">
        <f t="shared" si="34"/>
        <v>2395810</v>
      </c>
      <c r="S85" s="147">
        <f>R85</f>
        <v>2395810</v>
      </c>
      <c r="T85" s="147"/>
      <c r="U85" s="143"/>
    </row>
    <row r="86" spans="1:21" s="144" customFormat="1">
      <c r="A86" s="145" t="s">
        <v>770</v>
      </c>
      <c r="B86" s="146">
        <f t="shared" si="32"/>
        <v>323400</v>
      </c>
      <c r="C86" s="147">
        <v>323400</v>
      </c>
      <c r="D86" s="147"/>
      <c r="E86" s="147">
        <f t="shared" si="33"/>
        <v>323400</v>
      </c>
      <c r="F86" s="147"/>
      <c r="G86" s="147"/>
      <c r="H86" s="147"/>
      <c r="I86" s="147"/>
      <c r="J86" s="147"/>
      <c r="K86" s="147"/>
      <c r="L86" s="147"/>
      <c r="M86" s="147"/>
      <c r="N86" s="147"/>
      <c r="O86" s="147"/>
      <c r="P86" s="147"/>
      <c r="Q86" s="147"/>
      <c r="R86" s="516">
        <f t="shared" si="34"/>
        <v>323400</v>
      </c>
      <c r="S86" s="147">
        <f>R86</f>
        <v>323400</v>
      </c>
      <c r="T86" s="147"/>
      <c r="U86" s="143"/>
    </row>
    <row r="87" spans="1:21" s="144" customFormat="1">
      <c r="A87" s="145" t="s">
        <v>771</v>
      </c>
      <c r="B87" s="146">
        <f t="shared" si="32"/>
        <v>0</v>
      </c>
      <c r="C87" s="147"/>
      <c r="D87" s="147"/>
      <c r="E87" s="147"/>
      <c r="F87" s="147"/>
      <c r="G87" s="147"/>
      <c r="H87" s="147"/>
      <c r="I87" s="147"/>
      <c r="J87" s="147"/>
      <c r="K87" s="147"/>
      <c r="L87" s="147"/>
      <c r="M87" s="147"/>
      <c r="N87" s="147"/>
      <c r="O87" s="147"/>
      <c r="P87" s="147"/>
      <c r="Q87" s="147"/>
      <c r="R87" s="516">
        <f t="shared" si="34"/>
        <v>0</v>
      </c>
      <c r="S87" s="147"/>
      <c r="T87" s="147"/>
      <c r="U87" s="143"/>
    </row>
    <row r="88" spans="1:21" s="144" customFormat="1">
      <c r="A88" s="145" t="s">
        <v>772</v>
      </c>
      <c r="B88" s="146">
        <f t="shared" si="32"/>
        <v>233200</v>
      </c>
      <c r="C88" s="147">
        <v>233200</v>
      </c>
      <c r="D88" s="147"/>
      <c r="E88" s="147">
        <f t="shared" ref="E88:E95" si="35">C88-SUM(F88:L88)</f>
        <v>233200</v>
      </c>
      <c r="F88" s="147"/>
      <c r="G88" s="147"/>
      <c r="H88" s="147"/>
      <c r="I88" s="147"/>
      <c r="J88" s="147"/>
      <c r="K88" s="147"/>
      <c r="L88" s="147"/>
      <c r="M88" s="147"/>
      <c r="N88" s="147"/>
      <c r="O88" s="147"/>
      <c r="P88" s="147"/>
      <c r="Q88" s="147"/>
      <c r="R88" s="516">
        <f t="shared" si="34"/>
        <v>233200</v>
      </c>
      <c r="S88" s="148"/>
      <c r="T88" s="148"/>
      <c r="U88" s="143"/>
    </row>
    <row r="89" spans="1:21" s="144" customFormat="1">
      <c r="A89" s="145" t="s">
        <v>773</v>
      </c>
      <c r="B89" s="146">
        <f t="shared" si="32"/>
        <v>25000</v>
      </c>
      <c r="C89" s="147">
        <v>25000</v>
      </c>
      <c r="D89" s="147"/>
      <c r="E89" s="147">
        <f t="shared" si="35"/>
        <v>25000</v>
      </c>
      <c r="F89" s="147"/>
      <c r="G89" s="147"/>
      <c r="H89" s="147"/>
      <c r="I89" s="147"/>
      <c r="J89" s="147"/>
      <c r="K89" s="147"/>
      <c r="L89" s="147"/>
      <c r="M89" s="147"/>
      <c r="N89" s="147"/>
      <c r="O89" s="147"/>
      <c r="P89" s="147"/>
      <c r="Q89" s="147"/>
      <c r="R89" s="516">
        <f t="shared" si="34"/>
        <v>25000</v>
      </c>
      <c r="S89" s="147">
        <f t="shared" ref="S89:S94" si="36">R89</f>
        <v>25000</v>
      </c>
      <c r="T89" s="147"/>
      <c r="U89" s="143"/>
    </row>
    <row r="90" spans="1:21" s="144" customFormat="1">
      <c r="A90" s="145" t="s">
        <v>774</v>
      </c>
      <c r="B90" s="146">
        <f t="shared" si="32"/>
        <v>10000</v>
      </c>
      <c r="C90" s="147">
        <v>10000</v>
      </c>
      <c r="D90" s="147"/>
      <c r="E90" s="147">
        <f t="shared" si="35"/>
        <v>10000</v>
      </c>
      <c r="F90" s="147"/>
      <c r="G90" s="147"/>
      <c r="H90" s="147"/>
      <c r="I90" s="147"/>
      <c r="J90" s="147"/>
      <c r="K90" s="147"/>
      <c r="L90" s="147"/>
      <c r="M90" s="147"/>
      <c r="N90" s="147"/>
      <c r="O90" s="147"/>
      <c r="P90" s="147"/>
      <c r="Q90" s="147"/>
      <c r="R90" s="516">
        <f t="shared" si="34"/>
        <v>10000</v>
      </c>
      <c r="S90" s="147">
        <f t="shared" si="36"/>
        <v>10000</v>
      </c>
      <c r="T90" s="147"/>
      <c r="U90" s="143"/>
    </row>
    <row r="91" spans="1:21" s="144" customFormat="1">
      <c r="A91" s="145" t="s">
        <v>372</v>
      </c>
      <c r="B91" s="146">
        <f t="shared" si="32"/>
        <v>63000</v>
      </c>
      <c r="C91" s="147">
        <v>63000</v>
      </c>
      <c r="D91" s="147"/>
      <c r="E91" s="147">
        <f t="shared" si="35"/>
        <v>63000</v>
      </c>
      <c r="F91" s="147"/>
      <c r="G91" s="147"/>
      <c r="H91" s="147"/>
      <c r="I91" s="147"/>
      <c r="J91" s="147"/>
      <c r="K91" s="147"/>
      <c r="L91" s="147"/>
      <c r="M91" s="147"/>
      <c r="N91" s="147"/>
      <c r="O91" s="147"/>
      <c r="P91" s="147"/>
      <c r="Q91" s="147"/>
      <c r="R91" s="516">
        <f t="shared" si="34"/>
        <v>63000</v>
      </c>
      <c r="S91" s="147">
        <f t="shared" si="36"/>
        <v>63000</v>
      </c>
      <c r="T91" s="147"/>
      <c r="U91" s="143"/>
    </row>
    <row r="92" spans="1:21" s="144" customFormat="1">
      <c r="A92" s="283" t="s">
        <v>1212</v>
      </c>
      <c r="B92" s="146">
        <f t="shared" si="32"/>
        <v>10000</v>
      </c>
      <c r="C92" s="147">
        <v>10000</v>
      </c>
      <c r="D92" s="147"/>
      <c r="E92" s="147">
        <f t="shared" si="35"/>
        <v>10000</v>
      </c>
      <c r="F92" s="147"/>
      <c r="G92" s="147"/>
      <c r="H92" s="147"/>
      <c r="I92" s="147"/>
      <c r="J92" s="147"/>
      <c r="K92" s="147"/>
      <c r="L92" s="147"/>
      <c r="M92" s="147"/>
      <c r="N92" s="147"/>
      <c r="O92" s="147"/>
      <c r="P92" s="147"/>
      <c r="Q92" s="147"/>
      <c r="R92" s="516">
        <f t="shared" si="34"/>
        <v>10000</v>
      </c>
      <c r="S92" s="147">
        <f t="shared" si="36"/>
        <v>10000</v>
      </c>
      <c r="T92" s="147"/>
      <c r="U92" s="143"/>
    </row>
    <row r="93" spans="1:21" s="144" customFormat="1">
      <c r="A93" s="1149" t="s">
        <v>2725</v>
      </c>
      <c r="B93" s="146">
        <f t="shared" si="32"/>
        <v>3500</v>
      </c>
      <c r="C93" s="147">
        <v>3500</v>
      </c>
      <c r="D93" s="147"/>
      <c r="E93" s="147">
        <f t="shared" si="35"/>
        <v>3500</v>
      </c>
      <c r="F93" s="147"/>
      <c r="G93" s="147"/>
      <c r="H93" s="147"/>
      <c r="I93" s="147"/>
      <c r="J93" s="147"/>
      <c r="K93" s="147"/>
      <c r="L93" s="147"/>
      <c r="M93" s="147"/>
      <c r="N93" s="147"/>
      <c r="O93" s="147"/>
      <c r="P93" s="147"/>
      <c r="Q93" s="147"/>
      <c r="R93" s="516">
        <f t="shared" si="34"/>
        <v>3500</v>
      </c>
      <c r="S93" s="147">
        <f t="shared" si="36"/>
        <v>3500</v>
      </c>
      <c r="T93" s="147"/>
      <c r="U93" s="143"/>
    </row>
    <row r="94" spans="1:21" s="144" customFormat="1">
      <c r="A94" s="1149" t="s">
        <v>2726</v>
      </c>
      <c r="B94" s="146">
        <f t="shared" si="32"/>
        <v>225000</v>
      </c>
      <c r="C94" s="147">
        <v>225000</v>
      </c>
      <c r="D94" s="147"/>
      <c r="E94" s="147">
        <f t="shared" si="35"/>
        <v>225000</v>
      </c>
      <c r="F94" s="147"/>
      <c r="G94" s="147"/>
      <c r="H94" s="147"/>
      <c r="I94" s="147"/>
      <c r="J94" s="147"/>
      <c r="K94" s="147"/>
      <c r="L94" s="147"/>
      <c r="M94" s="147"/>
      <c r="N94" s="147"/>
      <c r="O94" s="147"/>
      <c r="P94" s="147"/>
      <c r="Q94" s="147"/>
      <c r="R94" s="516">
        <f t="shared" si="34"/>
        <v>225000</v>
      </c>
      <c r="S94" s="147">
        <f t="shared" si="36"/>
        <v>225000</v>
      </c>
      <c r="T94" s="147"/>
      <c r="U94" s="143"/>
    </row>
    <row r="95" spans="1:21" s="144" customFormat="1">
      <c r="A95" s="1149" t="s">
        <v>2754</v>
      </c>
      <c r="B95" s="146">
        <f t="shared" si="32"/>
        <v>25000</v>
      </c>
      <c r="C95" s="147">
        <v>25000</v>
      </c>
      <c r="D95" s="147"/>
      <c r="E95" s="147">
        <f t="shared" si="35"/>
        <v>25000</v>
      </c>
      <c r="F95" s="147"/>
      <c r="G95" s="147"/>
      <c r="H95" s="147"/>
      <c r="I95" s="147"/>
      <c r="J95" s="147"/>
      <c r="K95" s="147"/>
      <c r="L95" s="147"/>
      <c r="M95" s="147"/>
      <c r="N95" s="147"/>
      <c r="O95" s="147"/>
      <c r="P95" s="147"/>
      <c r="Q95" s="147"/>
      <c r="R95" s="516">
        <f t="shared" si="34"/>
        <v>25000</v>
      </c>
      <c r="S95" s="147">
        <v>0</v>
      </c>
      <c r="T95" s="147"/>
      <c r="U95" s="143"/>
    </row>
    <row r="96" spans="1:21" s="144" customFormat="1">
      <c r="A96" s="149" t="s">
        <v>775</v>
      </c>
      <c r="B96" s="146">
        <f>SUM(C96:D96)</f>
        <v>3429623</v>
      </c>
      <c r="C96" s="146">
        <f t="shared" ref="C96:R96" si="37">SUM(C83:C95)</f>
        <v>3429623</v>
      </c>
      <c r="D96" s="146">
        <f t="shared" si="37"/>
        <v>0</v>
      </c>
      <c r="E96" s="146">
        <f t="shared" si="37"/>
        <v>3429623</v>
      </c>
      <c r="F96" s="146">
        <f t="shared" si="37"/>
        <v>0</v>
      </c>
      <c r="G96" s="146">
        <f t="shared" si="37"/>
        <v>0</v>
      </c>
      <c r="H96" s="146">
        <f t="shared" si="37"/>
        <v>0</v>
      </c>
      <c r="I96" s="146">
        <f t="shared" si="37"/>
        <v>0</v>
      </c>
      <c r="J96" s="146">
        <f t="shared" si="37"/>
        <v>0</v>
      </c>
      <c r="K96" s="146">
        <f t="shared" si="37"/>
        <v>0</v>
      </c>
      <c r="L96" s="146">
        <f t="shared" si="37"/>
        <v>0</v>
      </c>
      <c r="M96" s="146">
        <f t="shared" si="37"/>
        <v>0</v>
      </c>
      <c r="N96" s="146">
        <f t="shared" si="37"/>
        <v>0</v>
      </c>
      <c r="O96" s="146">
        <f t="shared" si="37"/>
        <v>0</v>
      </c>
      <c r="P96" s="146">
        <f t="shared" si="37"/>
        <v>0</v>
      </c>
      <c r="Q96" s="146">
        <f t="shared" si="37"/>
        <v>0</v>
      </c>
      <c r="R96" s="342">
        <f t="shared" si="37"/>
        <v>3429623</v>
      </c>
      <c r="S96" s="150">
        <f>SUM(S84:S87,S89:S95)</f>
        <v>3060210</v>
      </c>
      <c r="T96" s="146">
        <f>SUM(T84:T87,T89:T95)</f>
        <v>0</v>
      </c>
      <c r="U96" s="143"/>
    </row>
    <row r="97" spans="1:21" s="144" customFormat="1">
      <c r="A97" s="149" t="s">
        <v>776</v>
      </c>
      <c r="B97" s="146">
        <f>SUM(C97:D97)</f>
        <v>39773964</v>
      </c>
      <c r="C97" s="146">
        <f t="shared" ref="C97:R97" si="38">SUM(C63+C70+C77+C81+C96)</f>
        <v>39773964</v>
      </c>
      <c r="D97" s="146">
        <f t="shared" si="38"/>
        <v>0</v>
      </c>
      <c r="E97" s="146">
        <f t="shared" si="38"/>
        <v>19477559</v>
      </c>
      <c r="F97" s="146">
        <f t="shared" si="38"/>
        <v>13390000</v>
      </c>
      <c r="G97" s="146">
        <f t="shared" si="38"/>
        <v>3360000</v>
      </c>
      <c r="H97" s="146">
        <f t="shared" si="38"/>
        <v>1700000</v>
      </c>
      <c r="I97" s="146">
        <f t="shared" si="38"/>
        <v>1400000</v>
      </c>
      <c r="J97" s="146">
        <f t="shared" si="38"/>
        <v>0</v>
      </c>
      <c r="K97" s="146">
        <f t="shared" si="38"/>
        <v>303600</v>
      </c>
      <c r="L97" s="146">
        <f t="shared" si="38"/>
        <v>142805</v>
      </c>
      <c r="M97" s="146">
        <f t="shared" si="38"/>
        <v>0</v>
      </c>
      <c r="N97" s="146">
        <f t="shared" si="38"/>
        <v>0</v>
      </c>
      <c r="O97" s="146">
        <f t="shared" si="38"/>
        <v>0</v>
      </c>
      <c r="P97" s="146">
        <f t="shared" si="38"/>
        <v>0</v>
      </c>
      <c r="Q97" s="146">
        <f t="shared" si="38"/>
        <v>0</v>
      </c>
      <c r="R97" s="146">
        <f t="shared" si="38"/>
        <v>39773964</v>
      </c>
      <c r="S97" s="146">
        <f>SUM(S63+S70+S81+S96)</f>
        <v>34049604</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5107441</v>
      </c>
      <c r="C99" s="979">
        <v>5107441</v>
      </c>
      <c r="D99" s="979"/>
      <c r="E99" s="979">
        <f t="shared" ref="E99" si="39">C99-SUM(F99:L99)</f>
        <v>1750930</v>
      </c>
      <c r="F99" s="147"/>
      <c r="G99" s="147"/>
      <c r="H99" s="147"/>
      <c r="I99" s="147"/>
      <c r="J99" s="147">
        <f>ROUND(Application!AO631,0)</f>
        <v>3356511</v>
      </c>
      <c r="K99" s="147"/>
      <c r="L99" s="147"/>
      <c r="M99" s="147"/>
      <c r="N99" s="147"/>
      <c r="O99" s="147"/>
      <c r="P99" s="147"/>
      <c r="Q99" s="147"/>
      <c r="R99" s="516">
        <f>SUM(E99:Q99)</f>
        <v>5107441</v>
      </c>
      <c r="S99" s="147">
        <f>R99</f>
        <v>5107441</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5107441</v>
      </c>
      <c r="C104" s="146">
        <f>SUM(C99:C103)</f>
        <v>5107441</v>
      </c>
      <c r="D104" s="146">
        <f t="shared" ref="D104:T104" si="40">SUM(D99:D103)</f>
        <v>0</v>
      </c>
      <c r="E104" s="146">
        <f t="shared" si="40"/>
        <v>1750930</v>
      </c>
      <c r="F104" s="146">
        <f t="shared" si="40"/>
        <v>0</v>
      </c>
      <c r="G104" s="146">
        <f t="shared" si="40"/>
        <v>0</v>
      </c>
      <c r="H104" s="146">
        <f t="shared" si="40"/>
        <v>0</v>
      </c>
      <c r="I104" s="146">
        <f t="shared" si="40"/>
        <v>0</v>
      </c>
      <c r="J104" s="146">
        <f t="shared" si="40"/>
        <v>3356511</v>
      </c>
      <c r="K104" s="146">
        <f t="shared" si="40"/>
        <v>0</v>
      </c>
      <c r="L104" s="146">
        <f t="shared" si="40"/>
        <v>0</v>
      </c>
      <c r="M104" s="146">
        <f t="shared" si="40"/>
        <v>0</v>
      </c>
      <c r="N104" s="146">
        <f t="shared" si="40"/>
        <v>0</v>
      </c>
      <c r="O104" s="146">
        <f t="shared" si="40"/>
        <v>0</v>
      </c>
      <c r="P104" s="146">
        <f t="shared" si="40"/>
        <v>0</v>
      </c>
      <c r="Q104" s="146">
        <f t="shared" si="40"/>
        <v>0</v>
      </c>
      <c r="R104" s="342">
        <f t="shared" si="40"/>
        <v>5107441</v>
      </c>
      <c r="S104" s="150">
        <f t="shared" si="40"/>
        <v>5107441</v>
      </c>
      <c r="T104" s="150">
        <f t="shared" si="40"/>
        <v>0</v>
      </c>
      <c r="U104" s="143"/>
    </row>
    <row r="105" spans="1:21" s="144" customFormat="1">
      <c r="A105" s="149" t="s">
        <v>781</v>
      </c>
      <c r="B105" s="150">
        <f>SUM(C105:D105)</f>
        <v>44881405</v>
      </c>
      <c r="C105" s="150">
        <f t="shared" ref="C105:R105" si="41">SUM(C97+C104)</f>
        <v>44881405</v>
      </c>
      <c r="D105" s="150">
        <f t="shared" si="41"/>
        <v>0</v>
      </c>
      <c r="E105" s="150">
        <f t="shared" si="41"/>
        <v>21228489</v>
      </c>
      <c r="F105" s="150">
        <f t="shared" si="41"/>
        <v>13390000</v>
      </c>
      <c r="G105" s="150">
        <f t="shared" si="41"/>
        <v>3360000</v>
      </c>
      <c r="H105" s="150">
        <f t="shared" si="41"/>
        <v>1700000</v>
      </c>
      <c r="I105" s="150">
        <f t="shared" si="41"/>
        <v>1400000</v>
      </c>
      <c r="J105" s="150">
        <f t="shared" si="41"/>
        <v>3356511</v>
      </c>
      <c r="K105" s="150">
        <f t="shared" si="41"/>
        <v>303600</v>
      </c>
      <c r="L105" s="150">
        <f t="shared" si="41"/>
        <v>142805</v>
      </c>
      <c r="M105" s="150">
        <f t="shared" si="41"/>
        <v>0</v>
      </c>
      <c r="N105" s="150">
        <f t="shared" si="41"/>
        <v>0</v>
      </c>
      <c r="O105" s="150">
        <f t="shared" si="41"/>
        <v>0</v>
      </c>
      <c r="P105" s="150">
        <f t="shared" si="41"/>
        <v>0</v>
      </c>
      <c r="Q105" s="150">
        <f t="shared" si="41"/>
        <v>0</v>
      </c>
      <c r="R105" s="342">
        <f t="shared" si="41"/>
        <v>44881405</v>
      </c>
      <c r="S105" s="150">
        <f>S97+S104</f>
        <v>39157045</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39157045</v>
      </c>
      <c r="T107" s="150">
        <f>T105+T106</f>
        <v>0</v>
      </c>
    </row>
    <row r="108" spans="1:21" s="189" customFormat="1">
      <c r="A108" s="162" t="s">
        <v>880</v>
      </c>
      <c r="B108" s="157"/>
      <c r="C108" s="157"/>
      <c r="D108" s="157"/>
      <c r="E108" s="301">
        <f>Application!AO640</f>
        <v>21228489</v>
      </c>
      <c r="F108" s="301">
        <f>Application!AO627</f>
        <v>13390000</v>
      </c>
      <c r="G108" s="301">
        <f>Application!AO628</f>
        <v>3360000</v>
      </c>
      <c r="H108" s="301">
        <f>Application!AO629</f>
        <v>1700000</v>
      </c>
      <c r="I108" s="301">
        <f>Application!AO630</f>
        <v>1400000</v>
      </c>
      <c r="J108" s="301">
        <f>Application!AO631</f>
        <v>3356511</v>
      </c>
      <c r="K108" s="301">
        <f>Application!AO632</f>
        <v>303600</v>
      </c>
      <c r="L108" s="301">
        <f>Application!AO633</f>
        <v>142805</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8" t="s">
        <v>991</v>
      </c>
      <c r="E122" s="1868"/>
      <c r="F122" s="1868"/>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0" t="s">
        <v>1225</v>
      </c>
      <c r="E123" s="1788"/>
      <c r="F123" s="1788"/>
      <c r="G123" s="1788"/>
      <c r="H123" s="1788"/>
      <c r="I123" s="1788"/>
      <c r="J123" s="1788"/>
      <c r="K123" s="1788"/>
      <c r="L123" s="1788"/>
      <c r="M123" s="1788"/>
      <c r="N123" s="1788"/>
      <c r="O123" s="1788"/>
      <c r="P123" s="1788"/>
      <c r="Q123" s="1788"/>
      <c r="R123" s="1788"/>
      <c r="S123" s="1788"/>
      <c r="T123" s="324"/>
      <c r="U123" s="326"/>
    </row>
    <row r="124" spans="1:21" ht="12.75">
      <c r="A124" s="117" t="s">
        <v>993</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75">
      <c r="A125" s="117" t="s">
        <v>994</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300</v>
      </c>
      <c r="B129" s="333"/>
      <c r="C129" s="117"/>
      <c r="D129" s="1867" t="s">
        <v>998</v>
      </c>
      <c r="E129" s="1867"/>
      <c r="F129" s="1867"/>
      <c r="G129" s="1867"/>
      <c r="H129" s="1867"/>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6"/>
      <c r="E131" s="1816"/>
      <c r="F131" s="1816"/>
      <c r="G131" s="1816"/>
      <c r="H131" s="1816"/>
      <c r="I131" s="117"/>
      <c r="J131" s="1816"/>
      <c r="K131" s="1816"/>
      <c r="L131" s="1816"/>
      <c r="M131" s="1816"/>
      <c r="N131" s="117"/>
      <c r="O131" s="117"/>
      <c r="P131" s="117"/>
      <c r="Q131" s="117"/>
      <c r="R131" s="117"/>
      <c r="S131" s="117"/>
      <c r="T131" s="324"/>
      <c r="U131" s="326"/>
    </row>
    <row r="132" spans="1:21" ht="12" customHeight="1">
      <c r="A132" s="336"/>
      <c r="B132" s="117"/>
      <c r="C132" s="117"/>
      <c r="D132" s="1871" t="s">
        <v>1001</v>
      </c>
      <c r="E132" s="1871"/>
      <c r="F132" s="1871"/>
      <c r="G132" s="1871"/>
      <c r="H132" s="1871"/>
      <c r="I132" s="117"/>
      <c r="J132" s="1871" t="s">
        <v>1002</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1005</v>
      </c>
      <c r="B139" s="1869"/>
      <c r="C139" s="1869"/>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F99" sqref="F9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5" t="s">
        <v>1228</v>
      </c>
      <c r="B1" s="1876"/>
      <c r="C1" s="1876"/>
      <c r="D1" s="1876"/>
      <c r="E1" s="1876"/>
      <c r="F1" s="1876"/>
      <c r="G1" s="1876"/>
      <c r="H1" s="1876"/>
      <c r="I1" s="1876"/>
      <c r="J1" s="1877"/>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3360000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3360000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1068712</v>
      </c>
      <c r="C10" s="362"/>
      <c r="D10" s="362"/>
      <c r="E10" s="361">
        <f>'Sources and Uses Budget'!S10</f>
        <v>1068712</v>
      </c>
      <c r="F10" s="362"/>
      <c r="G10" s="362"/>
      <c r="H10" s="361">
        <f>'Sources and Uses Budget'!T10</f>
        <v>0</v>
      </c>
      <c r="I10" s="362"/>
      <c r="J10" s="362"/>
      <c r="K10" s="359"/>
    </row>
    <row r="11" spans="1:11" s="360" customFormat="1">
      <c r="A11" s="365" t="s">
        <v>597</v>
      </c>
      <c r="B11" s="361">
        <f>'Sources and Uses Budget'!C11</f>
        <v>1068712</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4428712</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1440000</v>
      </c>
      <c r="C29" s="362"/>
      <c r="D29" s="362"/>
      <c r="E29" s="361">
        <f>'Sources and Uses Budget'!S29</f>
        <v>1440000</v>
      </c>
      <c r="F29" s="362"/>
      <c r="G29" s="362"/>
      <c r="H29" s="361">
        <f>'Sources and Uses Budget'!T29</f>
        <v>0</v>
      </c>
      <c r="I29" s="362"/>
      <c r="J29" s="362"/>
      <c r="K29" s="359"/>
    </row>
    <row r="30" spans="1:11" s="360" customFormat="1">
      <c r="A30" s="145" t="s">
        <v>600</v>
      </c>
      <c r="B30" s="361">
        <f>'Sources and Uses Budget'!C30</f>
        <v>19814656</v>
      </c>
      <c r="C30" s="362"/>
      <c r="D30" s="362"/>
      <c r="E30" s="361">
        <f>'Sources and Uses Budget'!S30</f>
        <v>19814656</v>
      </c>
      <c r="F30" s="362"/>
      <c r="G30" s="362"/>
      <c r="H30" s="361">
        <f>'Sources and Uses Budget'!T30</f>
        <v>0</v>
      </c>
      <c r="I30" s="362"/>
      <c r="J30" s="362"/>
      <c r="K30" s="359"/>
    </row>
    <row r="31" spans="1:11" s="360" customFormat="1">
      <c r="A31" s="145" t="s">
        <v>601</v>
      </c>
      <c r="B31" s="361">
        <f>'Sources and Uses Budget'!C31</f>
        <v>892935</v>
      </c>
      <c r="C31" s="362"/>
      <c r="D31" s="362"/>
      <c r="E31" s="361">
        <f>'Sources and Uses Budget'!S31</f>
        <v>892935</v>
      </c>
      <c r="F31" s="362"/>
      <c r="G31" s="362"/>
      <c r="H31" s="361">
        <f>'Sources and Uses Budget'!T31</f>
        <v>0</v>
      </c>
      <c r="I31" s="362"/>
      <c r="J31" s="362"/>
      <c r="K31" s="359"/>
    </row>
    <row r="32" spans="1:11" s="360" customFormat="1">
      <c r="A32" s="145" t="s">
        <v>137</v>
      </c>
      <c r="B32" s="361">
        <f>'Sources and Uses Budget'!C32</f>
        <v>669701</v>
      </c>
      <c r="C32" s="362"/>
      <c r="D32" s="362"/>
      <c r="E32" s="361">
        <f>'Sources and Uses Budget'!S32</f>
        <v>669701</v>
      </c>
      <c r="F32" s="362"/>
      <c r="G32" s="362"/>
      <c r="H32" s="361">
        <f>'Sources and Uses Budget'!T32</f>
        <v>0</v>
      </c>
      <c r="I32" s="362"/>
      <c r="J32" s="362"/>
      <c r="K32" s="359"/>
    </row>
    <row r="33" spans="1:11" s="360" customFormat="1">
      <c r="A33" s="145" t="s">
        <v>138</v>
      </c>
      <c r="B33" s="361">
        <f>'Sources and Uses Budget'!C33</f>
        <v>1562636</v>
      </c>
      <c r="C33" s="362"/>
      <c r="D33" s="362"/>
      <c r="E33" s="361">
        <f>'Sources and Uses Budget'!S33</f>
        <v>1562636</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(Site Security)</v>
      </c>
      <c r="B37" s="361">
        <f>'Sources and Uses Budget'!C37</f>
        <v>307200</v>
      </c>
      <c r="C37" s="362"/>
      <c r="D37" s="362"/>
      <c r="E37" s="361">
        <f>'Sources and Uses Budget'!S37</f>
        <v>307200</v>
      </c>
      <c r="F37" s="362"/>
      <c r="G37" s="362"/>
      <c r="H37" s="361">
        <f>'Sources and Uses Budget'!T37</f>
        <v>0</v>
      </c>
      <c r="I37" s="362"/>
      <c r="J37" s="362"/>
      <c r="K37" s="359"/>
    </row>
    <row r="38" spans="1:11" s="360" customFormat="1">
      <c r="A38" s="365" t="s">
        <v>143</v>
      </c>
      <c r="B38" s="361">
        <f>'Sources and Uses Budget'!C38</f>
        <v>24687128</v>
      </c>
      <c r="C38" s="361">
        <f>SUM(C29:C37)</f>
        <v>0</v>
      </c>
      <c r="D38" s="361">
        <f>SUM(D29:D37)</f>
        <v>0</v>
      </c>
      <c r="E38" s="361">
        <f>'Sources and Uses Budget'!S38</f>
        <v>24687128</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300000</v>
      </c>
      <c r="C40" s="362"/>
      <c r="D40" s="362"/>
      <c r="E40" s="361">
        <f>'Sources and Uses Budget'!S40</f>
        <v>300000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300000</v>
      </c>
      <c r="C42" s="361">
        <f>SUM(C39:C41)</f>
        <v>0</v>
      </c>
      <c r="D42" s="361">
        <f>SUM(D39:D41)</f>
        <v>0</v>
      </c>
      <c r="E42" s="361">
        <f>'Sources and Uses Budget'!S42</f>
        <v>300000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421500</v>
      </c>
      <c r="C43" s="362"/>
      <c r="D43" s="362"/>
      <c r="E43" s="361">
        <f>'Sources and Uses Budget'!S43</f>
        <v>421500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2897239</v>
      </c>
      <c r="C45" s="362"/>
      <c r="D45" s="362"/>
      <c r="E45" s="361">
        <f>'Sources and Uses Budget'!S45</f>
        <v>1788786</v>
      </c>
      <c r="F45" s="362"/>
      <c r="G45" s="362"/>
      <c r="H45" s="361">
        <f>'Sources and Uses Budget'!T45</f>
        <v>0</v>
      </c>
      <c r="I45" s="362"/>
      <c r="J45" s="362"/>
      <c r="K45" s="359"/>
    </row>
    <row r="46" spans="1:11" s="360" customFormat="1">
      <c r="A46" s="364" t="s">
        <v>151</v>
      </c>
      <c r="B46" s="361">
        <f>'Sources and Uses Budget'!C46</f>
        <v>385172</v>
      </c>
      <c r="C46" s="362"/>
      <c r="D46" s="362"/>
      <c r="E46" s="361">
        <f>'Sources and Uses Budget'!S46</f>
        <v>288879</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210000</v>
      </c>
      <c r="C48" s="362"/>
      <c r="D48" s="362"/>
      <c r="E48" s="361">
        <f>'Sources and Uses Budget'!S48</f>
        <v>157500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0</v>
      </c>
      <c r="C50" s="362"/>
      <c r="D50" s="362"/>
      <c r="E50" s="361">
        <f>'Sources and Uses Budget'!S50</f>
        <v>0</v>
      </c>
      <c r="F50" s="362"/>
      <c r="G50" s="362"/>
      <c r="H50" s="361">
        <f>'Sources and Uses Budget'!T50</f>
        <v>0</v>
      </c>
      <c r="I50" s="362"/>
      <c r="J50" s="362"/>
      <c r="K50" s="359"/>
    </row>
    <row r="51" spans="1:11" s="360" customFormat="1">
      <c r="A51" s="364" t="s">
        <v>154</v>
      </c>
      <c r="B51" s="361">
        <f>'Sources and Uses Budget'!C51</f>
        <v>154500</v>
      </c>
      <c r="C51" s="362"/>
      <c r="D51" s="362"/>
      <c r="E51" s="361">
        <f>'Sources and Uses Budget'!S51</f>
        <v>115875</v>
      </c>
      <c r="F51" s="362"/>
      <c r="G51" s="362"/>
      <c r="H51" s="361">
        <f>'Sources and Uses Budget'!T51</f>
        <v>0</v>
      </c>
      <c r="I51" s="362"/>
      <c r="J51" s="362"/>
      <c r="K51" s="359"/>
    </row>
    <row r="52" spans="1:11" s="360" customFormat="1">
      <c r="A52" s="364" t="s">
        <v>155</v>
      </c>
      <c r="B52" s="361">
        <f>'Sources and Uses Budget'!C52</f>
        <v>450000</v>
      </c>
      <c r="C52" s="362"/>
      <c r="D52" s="362"/>
      <c r="E52" s="361">
        <f>'Sources and Uses Budget'!S52</f>
        <v>450000</v>
      </c>
      <c r="F52" s="362"/>
      <c r="G52" s="362"/>
      <c r="H52" s="361">
        <f>'Sources and Uses Budget'!T52</f>
        <v>0</v>
      </c>
      <c r="I52" s="362"/>
      <c r="J52" s="362"/>
      <c r="K52" s="359"/>
    </row>
    <row r="53" spans="1:11" s="360" customFormat="1">
      <c r="A53" s="364" t="str">
        <f>'Sources and Uses Budget'!$A53</f>
        <v>Other: Lender reports &amp; inspections</v>
      </c>
      <c r="B53" s="361">
        <f>'Sources and Uses Budget'!C53</f>
        <v>53500</v>
      </c>
      <c r="C53" s="362"/>
      <c r="D53" s="362"/>
      <c r="E53" s="361">
        <f>'Sources and Uses Budget'!S53</f>
        <v>53500</v>
      </c>
      <c r="F53" s="362"/>
      <c r="G53" s="362"/>
      <c r="H53" s="361">
        <f>'Sources and Uses Budget'!T53</f>
        <v>0</v>
      </c>
      <c r="I53" s="362"/>
      <c r="J53" s="362"/>
      <c r="K53" s="359"/>
    </row>
    <row r="54" spans="1:11" s="369" customFormat="1">
      <c r="A54" s="365" t="s">
        <v>157</v>
      </c>
      <c r="B54" s="361">
        <f>'Sources and Uses Budget'!C54</f>
        <v>4150411</v>
      </c>
      <c r="C54" s="367">
        <f>SUM(C45:C53)</f>
        <v>0</v>
      </c>
      <c r="D54" s="367">
        <f>SUM(D45:D53)</f>
        <v>0</v>
      </c>
      <c r="E54" s="361">
        <f>'Sources and Uses Budget'!S54</f>
        <v>2854540</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100425</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(Issuer Fee)</v>
      </c>
      <c r="B61" s="361">
        <f>'Sources and Uses Budget'!C61</f>
        <v>98000</v>
      </c>
      <c r="C61" s="362"/>
      <c r="D61" s="362"/>
      <c r="E61" s="363"/>
      <c r="F61" s="363"/>
      <c r="G61" s="363"/>
      <c r="H61" s="363"/>
      <c r="I61" s="363"/>
      <c r="J61" s="363"/>
      <c r="K61" s="359"/>
    </row>
    <row r="62" spans="1:11" s="360" customFormat="1" ht="13.7" customHeight="1">
      <c r="A62" s="365" t="s">
        <v>301</v>
      </c>
      <c r="B62" s="361">
        <f>'Sources and Uses Budget'!C62</f>
        <v>203425</v>
      </c>
      <c r="C62" s="361">
        <f>SUM(C56:C61)</f>
        <v>0</v>
      </c>
      <c r="D62" s="361">
        <f>SUM(D56:D61)</f>
        <v>0</v>
      </c>
      <c r="E62" s="363"/>
      <c r="F62" s="363"/>
      <c r="G62" s="363"/>
      <c r="H62" s="363"/>
      <c r="I62" s="363"/>
      <c r="J62" s="363"/>
      <c r="K62" s="359"/>
    </row>
    <row r="63" spans="1:11" s="360" customFormat="1">
      <c r="A63" s="370" t="s">
        <v>302</v>
      </c>
      <c r="B63" s="361">
        <f>'Sources and Uses Budget'!C63</f>
        <v>34191176</v>
      </c>
      <c r="C63" s="361">
        <f>SUM(C8+C11+C13+C14+C15+C26+C27+C38+C42+C43+C54+C62)</f>
        <v>0</v>
      </c>
      <c r="D63" s="361">
        <f>SUM(D8+D11+D13+D14+D15+D26+D27+D38+D42+D43+D54+D62)</f>
        <v>0</v>
      </c>
      <c r="E63" s="361">
        <f>'Sources and Uses Budget'!S63</f>
        <v>29331880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260000</v>
      </c>
      <c r="C65" s="362"/>
      <c r="D65" s="362"/>
      <c r="E65" s="361">
        <f>'Sources and Uses Budget'!S65</f>
        <v>112350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260000</v>
      </c>
      <c r="C70" s="361">
        <f>SUM(C64:C69)</f>
        <v>0</v>
      </c>
      <c r="D70" s="361">
        <f>SUM(D64:D69)</f>
        <v>0</v>
      </c>
      <c r="E70" s="361">
        <f>'Sources and Uses Budget'!S70</f>
        <v>112350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348001</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348001</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1272432</v>
      </c>
      <c r="C79" s="362"/>
      <c r="D79" s="362"/>
      <c r="E79" s="361">
        <f>'Sources and Uses Budget'!S79</f>
        <v>1272432</v>
      </c>
      <c r="F79" s="362"/>
      <c r="G79" s="362"/>
      <c r="H79" s="361">
        <f>'Sources and Uses Budget'!T79</f>
        <v>0</v>
      </c>
      <c r="I79" s="362"/>
      <c r="J79" s="362"/>
      <c r="K79" s="359"/>
    </row>
    <row r="80" spans="1:11" s="360" customFormat="1">
      <c r="A80" s="364" t="s">
        <v>58</v>
      </c>
      <c r="B80" s="361">
        <f>'Sources and Uses Budget'!C80</f>
        <v>272732</v>
      </c>
      <c r="C80" s="362"/>
      <c r="D80" s="362"/>
      <c r="E80" s="361">
        <f>'Sources and Uses Budget'!S80</f>
        <v>272732</v>
      </c>
      <c r="F80" s="362"/>
      <c r="G80" s="362"/>
      <c r="H80" s="361">
        <f>'Sources and Uses Budget'!T80</f>
        <v>0</v>
      </c>
      <c r="I80" s="362"/>
      <c r="J80" s="362"/>
      <c r="K80" s="359"/>
    </row>
    <row r="81" spans="1:11" s="360" customFormat="1">
      <c r="A81" s="365" t="s">
        <v>1210</v>
      </c>
      <c r="B81" s="361">
        <f>'Sources and Uses Budget'!C81</f>
        <v>1545164</v>
      </c>
      <c r="C81" s="361">
        <f>SUM(C79:C80)</f>
        <v>0</v>
      </c>
      <c r="D81" s="361">
        <f>SUM(D79:D80)</f>
        <v>0</v>
      </c>
      <c r="E81" s="361">
        <f>'Sources and Uses Budget'!S81</f>
        <v>1545164</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111213</v>
      </c>
      <c r="C83" s="362"/>
      <c r="D83" s="362"/>
      <c r="E83" s="363"/>
      <c r="F83" s="363"/>
      <c r="G83" s="363"/>
      <c r="H83" s="363"/>
      <c r="I83" s="363"/>
      <c r="J83" s="363"/>
      <c r="K83" s="359"/>
    </row>
    <row r="84" spans="1:11" s="360" customFormat="1">
      <c r="A84" s="145" t="s">
        <v>768</v>
      </c>
      <c r="B84" s="361">
        <f>'Sources and Uses Budget'!C84</f>
        <v>4500</v>
      </c>
      <c r="C84" s="362"/>
      <c r="D84" s="362"/>
      <c r="E84" s="361">
        <f>'Sources and Uses Budget'!S84</f>
        <v>4500</v>
      </c>
      <c r="F84" s="362"/>
      <c r="G84" s="362"/>
      <c r="H84" s="361">
        <f>'Sources and Uses Budget'!T84</f>
        <v>0</v>
      </c>
      <c r="I84" s="362"/>
      <c r="J84" s="362"/>
      <c r="K84" s="359"/>
    </row>
    <row r="85" spans="1:11" s="360" customFormat="1">
      <c r="A85" s="145" t="s">
        <v>769</v>
      </c>
      <c r="B85" s="361">
        <f>'Sources and Uses Budget'!C85</f>
        <v>2395810</v>
      </c>
      <c r="C85" s="362"/>
      <c r="D85" s="362"/>
      <c r="E85" s="361">
        <f>'Sources and Uses Budget'!S85</f>
        <v>2395810</v>
      </c>
      <c r="F85" s="362"/>
      <c r="G85" s="362"/>
      <c r="H85" s="361">
        <f>'Sources and Uses Budget'!T85</f>
        <v>0</v>
      </c>
      <c r="I85" s="362"/>
      <c r="J85" s="362"/>
      <c r="K85" s="359"/>
    </row>
    <row r="86" spans="1:11" s="360" customFormat="1">
      <c r="A86" s="145" t="s">
        <v>770</v>
      </c>
      <c r="B86" s="361">
        <f>'Sources and Uses Budget'!C86</f>
        <v>323400</v>
      </c>
      <c r="C86" s="362"/>
      <c r="D86" s="362"/>
      <c r="E86" s="361">
        <f>'Sources and Uses Budget'!S86</f>
        <v>323400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233200</v>
      </c>
      <c r="C88" s="362"/>
      <c r="D88" s="362"/>
      <c r="E88" s="363"/>
      <c r="F88" s="363"/>
      <c r="G88" s="363"/>
      <c r="H88" s="363"/>
      <c r="I88" s="363"/>
      <c r="J88" s="363"/>
      <c r="K88" s="359"/>
    </row>
    <row r="89" spans="1:11" s="360" customFormat="1">
      <c r="A89" s="145" t="s">
        <v>773</v>
      </c>
      <c r="B89" s="361">
        <f>'Sources and Uses Budget'!C89</f>
        <v>25000</v>
      </c>
      <c r="C89" s="362"/>
      <c r="D89" s="362"/>
      <c r="E89" s="361">
        <f>'Sources and Uses Budget'!S89</f>
        <v>25000</v>
      </c>
      <c r="F89" s="362"/>
      <c r="G89" s="362"/>
      <c r="H89" s="361">
        <f>'Sources and Uses Budget'!T89</f>
        <v>0</v>
      </c>
      <c r="I89" s="362"/>
      <c r="J89" s="362"/>
      <c r="K89" s="359"/>
    </row>
    <row r="90" spans="1:11" s="360" customFormat="1">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63000</v>
      </c>
      <c r="C91" s="362"/>
      <c r="D91" s="362"/>
      <c r="E91" s="361">
        <f>'Sources and Uses Budget'!S91</f>
        <v>63000</v>
      </c>
      <c r="F91" s="362"/>
      <c r="G91" s="362"/>
      <c r="H91" s="361">
        <f>'Sources and Uses Budget'!T91</f>
        <v>0</v>
      </c>
      <c r="I91" s="362"/>
      <c r="J91" s="362"/>
      <c r="K91" s="359"/>
    </row>
    <row r="92" spans="1:11" s="360" customFormat="1">
      <c r="A92" s="508" t="s">
        <v>1212</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Other: (Preconstruction Studies)</v>
      </c>
      <c r="B93" s="361">
        <f>'Sources and Uses Budget'!C93</f>
        <v>3500</v>
      </c>
      <c r="C93" s="362"/>
      <c r="D93" s="362"/>
      <c r="E93" s="361">
        <f>'Sources and Uses Budget'!S93</f>
        <v>3500</v>
      </c>
      <c r="F93" s="362"/>
      <c r="G93" s="362"/>
      <c r="H93" s="361">
        <f>'Sources and Uses Budget'!T93</f>
        <v>0</v>
      </c>
      <c r="I93" s="362"/>
      <c r="J93" s="362"/>
      <c r="K93" s="359"/>
    </row>
    <row r="94" spans="1:11" s="360" customFormat="1">
      <c r="A94" s="364" t="str">
        <f>'Sources and Uses Budget'!$A94</f>
        <v>Other: (Entitlement Services)</v>
      </c>
      <c r="B94" s="361">
        <f>'Sources and Uses Budget'!C94</f>
        <v>225000</v>
      </c>
      <c r="C94" s="362"/>
      <c r="D94" s="362"/>
      <c r="E94" s="361">
        <f>'Sources and Uses Budget'!S94</f>
        <v>225000</v>
      </c>
      <c r="F94" s="362"/>
      <c r="G94" s="362"/>
      <c r="H94" s="361">
        <f>'Sources and Uses Budget'!T94</f>
        <v>0</v>
      </c>
      <c r="I94" s="362"/>
      <c r="J94" s="362"/>
      <c r="K94" s="359"/>
    </row>
    <row r="95" spans="1:11" s="360" customFormat="1">
      <c r="A95" s="364" t="str">
        <f>'Sources and Uses Budget'!$A95</f>
        <v>Other: (GP Service Fee)</v>
      </c>
      <c r="B95" s="361">
        <f>'Sources and Uses Budget'!C95</f>
        <v>25000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3429623</v>
      </c>
      <c r="C96" s="361">
        <f>SUM(C83:C95)</f>
        <v>0</v>
      </c>
      <c r="D96" s="361">
        <f>SUM(D83:D95)</f>
        <v>0</v>
      </c>
      <c r="E96" s="361">
        <f>'Sources and Uses Budget'!S96</f>
        <v>3060210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39773964</v>
      </c>
      <c r="C97" s="361">
        <f>SUM(C63+C70+C77+C81+C96)</f>
        <v>0</v>
      </c>
      <c r="D97" s="361">
        <f>SUM(D63+D70+D77+D81+D96)</f>
        <v>0</v>
      </c>
      <c r="E97" s="361">
        <f>'Sources and Uses Budget'!S97</f>
        <v>34049604</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5107441</v>
      </c>
      <c r="C99" s="362"/>
      <c r="D99" s="362"/>
      <c r="E99" s="361">
        <f>'Sources and Uses Budget'!S99</f>
        <v>5107441</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5107441</v>
      </c>
      <c r="C104" s="361">
        <f>SUM(C99:C103)</f>
        <v>0</v>
      </c>
      <c r="D104" s="361">
        <f>SUM(D99:D103)</f>
        <v>0</v>
      </c>
      <c r="E104" s="361">
        <f>'Sources and Uses Budget'!S104</f>
        <v>5107441</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44881405</v>
      </c>
      <c r="C105" s="367">
        <f>SUM(C97+C104)</f>
        <v>0</v>
      </c>
      <c r="D105" s="367">
        <f>SUM(D97+D104)</f>
        <v>0</v>
      </c>
      <c r="E105" s="361">
        <f>'Sources and Uses Budget'!S105</f>
        <v>39157045</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39157045</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3" t="s">
        <v>2459</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2458</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5" t="str">
        <f>IF(Application!H18="","",Application!H18)</f>
        <v>Vista Del Roble Phase II</v>
      </c>
      <c r="M4" s="2316"/>
      <c r="N4" s="2316"/>
      <c r="O4" s="2316"/>
      <c r="P4" s="2316"/>
      <c r="Q4" s="2316"/>
      <c r="R4" s="2316"/>
      <c r="S4" s="2316"/>
      <c r="T4" s="2316"/>
      <c r="U4" s="2316"/>
      <c r="V4" s="2316"/>
      <c r="W4" s="2316"/>
      <c r="X4" s="2316"/>
      <c r="Y4" s="2316"/>
      <c r="Z4" s="2316"/>
      <c r="AA4" s="2316"/>
      <c r="AB4" s="2316"/>
      <c r="AC4" s="2317"/>
      <c r="AD4" s="1190"/>
      <c r="AE4" s="1190"/>
      <c r="AF4" s="2311" t="s">
        <v>2457</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2456</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5" t="str">
        <f>IF(Application!H16="","",Application!H16)</f>
        <v xml:space="preserve">Pacific Southwest Community Development Corporation </v>
      </c>
      <c r="M6" s="2316"/>
      <c r="N6" s="2316"/>
      <c r="O6" s="2316"/>
      <c r="P6" s="2316"/>
      <c r="Q6" s="2316"/>
      <c r="R6" s="2316"/>
      <c r="S6" s="2316"/>
      <c r="T6" s="2316"/>
      <c r="U6" s="2316"/>
      <c r="V6" s="2316"/>
      <c r="W6" s="2316"/>
      <c r="X6" s="2316"/>
      <c r="Y6" s="2316"/>
      <c r="Z6" s="2316"/>
      <c r="AA6" s="2316"/>
      <c r="AB6" s="2316"/>
      <c r="AC6" s="2317"/>
      <c r="AD6" s="1190"/>
      <c r="AE6" s="1190"/>
      <c r="AF6" s="2318" t="s">
        <v>2454</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2453</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2451</v>
      </c>
      <c r="AG8" s="2318"/>
      <c r="AH8" s="2318"/>
      <c r="AI8" s="2318"/>
      <c r="AJ8" s="2318"/>
      <c r="AK8" s="2318"/>
      <c r="AL8" s="2318"/>
      <c r="AM8" s="2318"/>
      <c r="AN8" s="2318"/>
      <c r="AO8" s="2318"/>
      <c r="AP8" s="2319" t="s">
        <v>2100</v>
      </c>
      <c r="AQ8" s="2319"/>
      <c r="AR8" s="2319"/>
      <c r="AS8" s="2319"/>
      <c r="AT8" s="2319"/>
      <c r="AU8" s="2319"/>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2450</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4">
        <f>Application!AO627</f>
        <v>13390000</v>
      </c>
      <c r="O10" s="2314"/>
      <c r="P10" s="2314"/>
      <c r="Q10" s="2314"/>
      <c r="R10" s="2314"/>
      <c r="S10" s="2314"/>
      <c r="T10" s="2314"/>
      <c r="U10" s="1190"/>
      <c r="V10" s="1190"/>
      <c r="W10" s="1190"/>
      <c r="X10" s="1193"/>
      <c r="Y10" s="1193"/>
      <c r="Z10" s="1193"/>
      <c r="AA10" s="1193"/>
      <c r="AB10" s="1193"/>
      <c r="AC10" s="1193"/>
      <c r="AD10" s="1193"/>
      <c r="AE10" s="1193"/>
      <c r="AF10" s="2311" t="s">
        <v>2447</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2444</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2" t="s">
        <v>2442</v>
      </c>
      <c r="C13" s="2303"/>
      <c r="D13" s="2303"/>
      <c r="E13" s="2303"/>
      <c r="F13" s="2303"/>
      <c r="G13" s="2303"/>
      <c r="H13" s="2303"/>
      <c r="I13" s="2303"/>
      <c r="J13" s="2303"/>
      <c r="K13" s="2303"/>
      <c r="L13" s="2303"/>
      <c r="M13" s="2303"/>
      <c r="N13" s="2303"/>
      <c r="O13" s="2303"/>
      <c r="P13" s="2304"/>
      <c r="Q13" s="2305" t="s">
        <v>670</v>
      </c>
      <c r="R13" s="2306"/>
      <c r="S13" s="2306"/>
      <c r="T13" s="2307"/>
      <c r="U13" s="1193"/>
      <c r="V13" s="1190"/>
      <c r="W13" s="1190"/>
      <c r="X13" s="1190"/>
      <c r="Y13" s="1190"/>
      <c r="Z13" s="1190"/>
      <c r="AA13" s="2292" t="s">
        <v>2441</v>
      </c>
      <c r="AB13" s="2292"/>
      <c r="AC13" s="2292"/>
      <c r="AD13" s="2292"/>
      <c r="AE13" s="2292"/>
      <c r="AF13" s="2292"/>
      <c r="AG13" s="2292"/>
      <c r="AH13" s="2292"/>
      <c r="AI13" s="2292"/>
      <c r="AJ13" s="2292"/>
      <c r="AK13" s="2292"/>
      <c r="AL13" s="2292"/>
      <c r="AM13" s="2292"/>
      <c r="AN13" s="2292"/>
      <c r="AO13" s="2308">
        <f>Application!W473</f>
        <v>0</v>
      </c>
      <c r="AP13" s="2309"/>
      <c r="AQ13" s="2309"/>
      <c r="AR13" s="2309"/>
      <c r="AS13" s="2309"/>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2439</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2438</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2437</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2436</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2435</v>
      </c>
      <c r="C18" s="2296"/>
      <c r="D18" s="2296"/>
      <c r="E18" s="2296"/>
      <c r="F18" s="2296"/>
      <c r="G18" s="2296"/>
      <c r="H18" s="2296"/>
      <c r="I18" s="2297"/>
      <c r="J18" s="2298" t="s">
        <v>1587</v>
      </c>
      <c r="K18" s="2299"/>
      <c r="L18" s="2299"/>
      <c r="M18" s="2299"/>
      <c r="N18" s="2299"/>
      <c r="O18" s="2300"/>
      <c r="P18" s="2298" t="s">
        <v>324</v>
      </c>
      <c r="Q18" s="2299"/>
      <c r="R18" s="2299"/>
      <c r="S18" s="2299"/>
      <c r="T18" s="2299"/>
      <c r="U18" s="2300"/>
      <c r="V18" s="2298" t="s">
        <v>325</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2434</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10</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2</v>
      </c>
      <c r="W19" s="2285"/>
      <c r="X19" s="2285"/>
      <c r="Y19" s="2285"/>
      <c r="Z19" s="2285"/>
      <c r="AA19" s="2286"/>
      <c r="AB19" s="2284" cm="1">
        <f t="array" ref="AB19">SUMPRODUCT((Application!$B$714:$B$738 = 'CalHFA Addendum'!AB$18)*(Application!$AC$714:$AC$738 = 'CalHFA Addendum'!$B19),Application!$G$714:$G$738)</f>
        <v>5</v>
      </c>
      <c r="AC19" s="2285"/>
      <c r="AD19" s="2285"/>
      <c r="AE19" s="2285"/>
      <c r="AF19" s="2285"/>
      <c r="AG19" s="2286"/>
      <c r="AH19" s="2284" cm="1">
        <f t="array" ref="AH19">SUMPRODUCT((Application!$B$714:$B$738 = 'CalHFA Addendum'!AH$18)*(Application!$AC$714:$AC$738 = 'CalHFA Addendum'!$B19),Application!$G$714:$G$738)</f>
        <v>3</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0.10416666666666667</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10</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2</v>
      </c>
      <c r="W21" s="2285"/>
      <c r="X21" s="2285"/>
      <c r="Y21" s="2285"/>
      <c r="Z21" s="2285"/>
      <c r="AA21" s="2286"/>
      <c r="AB21" s="2284" cm="1">
        <f t="array" ref="AB21">SUMPRODUCT((Application!$B$714:$B$738 = 'CalHFA Addendum'!AB$18)*(Application!$AC$714:$AC$738 = 'CalHFA Addendum'!$B21),Application!$G$714:$G$738)</f>
        <v>5</v>
      </c>
      <c r="AC21" s="2285"/>
      <c r="AD21" s="2285"/>
      <c r="AE21" s="2285"/>
      <c r="AF21" s="2285"/>
      <c r="AG21" s="2286"/>
      <c r="AH21" s="2284" cm="1">
        <f t="array" ref="AH21">SUMPRODUCT((Application!$B$714:$B$738 = 'CalHFA Addendum'!AH$18)*(Application!$AC$714:$AC$738 = 'CalHFA Addendum'!$B21),Application!$G$714:$G$738)</f>
        <v>3</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0.10416666666666667</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75</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24</v>
      </c>
      <c r="W22" s="2285"/>
      <c r="X22" s="2285"/>
      <c r="Y22" s="2285"/>
      <c r="Z22" s="2285"/>
      <c r="AA22" s="2286"/>
      <c r="AB22" s="2284" cm="1">
        <f t="array" ref="AB22">SUMPRODUCT((Application!$B$714:$B$738 = 'CalHFA Addendum'!AB$18)*(Application!$AC$714:$AC$738 = 'CalHFA Addendum'!$B22),Application!$G$714:$G$738)</f>
        <v>33</v>
      </c>
      <c r="AC22" s="2285"/>
      <c r="AD22" s="2285"/>
      <c r="AE22" s="2285"/>
      <c r="AF22" s="2285"/>
      <c r="AG22" s="2286"/>
      <c r="AH22" s="2284" cm="1">
        <f t="array" ref="AH22">SUMPRODUCT((Application!$B$714:$B$738 = 'CalHFA Addendum'!AH$18)*(Application!$AC$714:$AC$738 = 'CalHFA Addendum'!$B22),Application!$G$714:$G$738)</f>
        <v>18</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0.78125</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2433</v>
      </c>
      <c r="C28" s="2273"/>
      <c r="D28" s="2273"/>
      <c r="E28" s="2273"/>
      <c r="F28" s="2273"/>
      <c r="G28" s="2273"/>
      <c r="H28" s="2273"/>
      <c r="I28" s="2274"/>
      <c r="J28" s="2275">
        <f>SUM(P28:AS28)</f>
        <v>1</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1.0416666666666666E-2</v>
      </c>
      <c r="AU28" s="2279"/>
      <c r="AV28" s="2279"/>
      <c r="AW28" s="2279"/>
      <c r="AX28" s="2279"/>
      <c r="AY28" s="2280"/>
      <c r="AZ28" s="1190"/>
      <c r="BA28" s="1190"/>
      <c r="BB28" s="1190"/>
      <c r="BC28" s="1190"/>
      <c r="BD28" s="1190"/>
      <c r="BE28" s="1194"/>
    </row>
    <row r="29" spans="1:58" thickBot="1">
      <c r="A29" s="1190"/>
      <c r="B29" s="2255" t="s">
        <v>1587</v>
      </c>
      <c r="C29" s="2228"/>
      <c r="D29" s="2228"/>
      <c r="E29" s="2228"/>
      <c r="F29" s="2228"/>
      <c r="G29" s="2228"/>
      <c r="H29" s="2228"/>
      <c r="I29" s="2229"/>
      <c r="J29" s="2227">
        <f>SUM(J19:O28)</f>
        <v>96</v>
      </c>
      <c r="K29" s="2228"/>
      <c r="L29" s="2228"/>
      <c r="M29" s="2228"/>
      <c r="N29" s="2228"/>
      <c r="O29" s="2229"/>
      <c r="P29" s="2227">
        <f>SUM(P19:U28)</f>
        <v>0</v>
      </c>
      <c r="Q29" s="2228"/>
      <c r="R29" s="2228"/>
      <c r="S29" s="2228"/>
      <c r="T29" s="2228"/>
      <c r="U29" s="2229"/>
      <c r="V29" s="2227">
        <f>SUM(V19:AA28)</f>
        <v>28</v>
      </c>
      <c r="W29" s="2228"/>
      <c r="X29" s="2228"/>
      <c r="Y29" s="2228"/>
      <c r="Z29" s="2228"/>
      <c r="AA29" s="2229"/>
      <c r="AB29" s="2227">
        <f>SUM(AB19:AG28)</f>
        <v>44</v>
      </c>
      <c r="AC29" s="2228"/>
      <c r="AD29" s="2228"/>
      <c r="AE29" s="2228"/>
      <c r="AF29" s="2228"/>
      <c r="AG29" s="2229"/>
      <c r="AH29" s="2227">
        <f>SUM(AH19:AM28)</f>
        <v>24</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2432</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2431</v>
      </c>
      <c r="C32" s="2237"/>
      <c r="D32" s="2237"/>
      <c r="E32" s="2237"/>
      <c r="F32" s="2237"/>
      <c r="G32" s="2237"/>
      <c r="H32" s="2237"/>
      <c r="I32" s="2237"/>
      <c r="J32" s="2240" t="s">
        <v>2430</v>
      </c>
      <c r="K32" s="2241"/>
      <c r="L32" s="2241"/>
      <c r="M32" s="2241"/>
      <c r="N32" s="2240" t="s">
        <v>2429</v>
      </c>
      <c r="O32" s="2241"/>
      <c r="P32" s="2241"/>
      <c r="Q32" s="2243"/>
      <c r="R32" s="2245" t="s">
        <v>2428</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2427</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2426</v>
      </c>
      <c r="AT35" s="2257"/>
      <c r="AU35" s="2257"/>
      <c r="AV35" s="2257"/>
      <c r="AW35" s="2257"/>
      <c r="AX35" s="2265"/>
      <c r="AY35" s="2256" t="s">
        <v>2425</v>
      </c>
      <c r="AZ35" s="2257"/>
      <c r="BA35" s="2257"/>
      <c r="BB35" s="2257"/>
      <c r="BC35" s="2257"/>
      <c r="BD35" s="2258"/>
      <c r="BE35" s="1194"/>
    </row>
    <row r="36" spans="1:58" ht="15.75" customHeight="1">
      <c r="A36" s="1190"/>
      <c r="B36" s="2160" t="s">
        <v>2424</v>
      </c>
      <c r="C36" s="2161"/>
      <c r="D36" s="2161"/>
      <c r="E36" s="2161"/>
      <c r="F36" s="2161"/>
      <c r="G36" s="2161"/>
      <c r="H36" s="2161"/>
      <c r="I36" s="2161"/>
      <c r="J36" s="2225" t="s">
        <v>2423</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2422</v>
      </c>
      <c r="C37" s="2161"/>
      <c r="D37" s="2161"/>
      <c r="E37" s="2161"/>
      <c r="F37" s="2161"/>
      <c r="G37" s="2161"/>
      <c r="H37" s="2161"/>
      <c r="I37" s="2161"/>
      <c r="J37" s="2225" t="s">
        <v>2421</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2420</v>
      </c>
      <c r="C38" s="2161"/>
      <c r="D38" s="2161"/>
      <c r="E38" s="2161"/>
      <c r="F38" s="2161"/>
      <c r="G38" s="2161"/>
      <c r="H38" s="2161"/>
      <c r="I38" s="2161"/>
      <c r="J38" s="2225" t="s">
        <v>2419</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2418</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2418</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2417</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2417</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2416</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2415</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2414</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2338</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300</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2411</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2404</v>
      </c>
      <c r="C51" s="2103"/>
      <c r="D51" s="2103"/>
      <c r="E51" s="2103"/>
      <c r="F51" s="2103"/>
      <c r="G51" s="2103"/>
      <c r="H51" s="2103"/>
      <c r="I51" s="2103"/>
      <c r="J51" s="2103" t="s">
        <v>2410</v>
      </c>
      <c r="K51" s="2103"/>
      <c r="L51" s="2103"/>
      <c r="M51" s="2103"/>
      <c r="N51" s="2103"/>
      <c r="O51" s="2103"/>
      <c r="P51" s="2103"/>
      <c r="Q51" s="2103"/>
      <c r="R51" s="2204" t="s">
        <v>2409</v>
      </c>
      <c r="S51" s="2204"/>
      <c r="T51" s="2204"/>
      <c r="U51" s="2204"/>
      <c r="V51" s="2204"/>
      <c r="W51" s="2204"/>
      <c r="X51" s="2204"/>
      <c r="Y51" s="2204"/>
      <c r="Z51" s="2204" t="s">
        <v>2408</v>
      </c>
      <c r="AA51" s="2204"/>
      <c r="AB51" s="2204"/>
      <c r="AC51" s="2204"/>
      <c r="AD51" s="2204"/>
      <c r="AE51" s="2204"/>
      <c r="AF51" s="2204"/>
      <c r="AG51" s="2204"/>
      <c r="AH51" s="2204" t="s">
        <v>2407</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2406</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2405</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1587</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2404</v>
      </c>
      <c r="C59" s="2194"/>
      <c r="D59" s="2194"/>
      <c r="E59" s="2194"/>
      <c r="F59" s="2194"/>
      <c r="G59" s="2194"/>
      <c r="H59" s="2194"/>
      <c r="I59" s="2195"/>
      <c r="J59" s="2101" t="s">
        <v>2403</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2401</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2400</v>
      </c>
      <c r="AD68" s="2027"/>
      <c r="AE68" s="2027"/>
      <c r="AF68" s="2027"/>
      <c r="AG68" s="2027"/>
      <c r="AH68" s="2027"/>
      <c r="AI68" s="2027"/>
      <c r="AJ68" s="2027"/>
      <c r="AK68" s="2027"/>
      <c r="AL68" s="2027"/>
      <c r="AM68" s="2027"/>
      <c r="AN68" s="2027"/>
      <c r="AO68" s="2027"/>
      <c r="AP68" s="2027"/>
      <c r="AQ68" s="2027"/>
      <c r="AR68" s="2027"/>
      <c r="AS68" s="2027"/>
      <c r="AT68" s="2027"/>
      <c r="AU68" s="2027"/>
      <c r="AV68" s="2177" t="s">
        <v>670</v>
      </c>
      <c r="AW68" s="2083"/>
      <c r="AX68" s="2083"/>
      <c r="AY68" s="2083"/>
      <c r="AZ68" s="2083"/>
      <c r="BA68" s="2083"/>
      <c r="BB68" s="2083"/>
      <c r="BC68" s="2084"/>
      <c r="BD68" s="1190"/>
      <c r="BE68" s="1194"/>
      <c r="BM68" s="1199" t="s">
        <v>2399</v>
      </c>
    </row>
    <row r="69" spans="1:94" ht="15.75" customHeight="1" thickTop="1" thickBot="1">
      <c r="A69" s="1190"/>
      <c r="B69" s="2178" t="s">
        <v>2398</v>
      </c>
      <c r="C69" s="2179"/>
      <c r="D69" s="2179"/>
      <c r="E69" s="2179"/>
      <c r="F69" s="2179"/>
      <c r="G69" s="2179"/>
      <c r="H69" s="2179"/>
      <c r="I69" s="2179"/>
      <c r="J69" s="2179"/>
      <c r="K69" s="2179"/>
      <c r="L69" s="2179"/>
      <c r="M69" s="2179"/>
      <c r="N69" s="2179"/>
      <c r="O69" s="2180" t="s">
        <v>2397</v>
      </c>
      <c r="P69" s="2181"/>
      <c r="Q69" s="2181"/>
      <c r="R69" s="2181"/>
      <c r="S69" s="2181"/>
      <c r="T69" s="2181"/>
      <c r="U69" s="2181"/>
      <c r="V69" s="2181"/>
      <c r="W69" s="2181"/>
      <c r="X69" s="2181"/>
      <c r="Y69" s="2181"/>
      <c r="Z69" s="2181"/>
      <c r="AA69" s="2182"/>
      <c r="AB69" s="1190"/>
      <c r="AC69" s="2183" t="s">
        <v>2396</v>
      </c>
      <c r="AD69" s="2184"/>
      <c r="AE69" s="2184"/>
      <c r="AF69" s="2184"/>
      <c r="AG69" s="2184"/>
      <c r="AH69" s="2184"/>
      <c r="AI69" s="2184"/>
      <c r="AJ69" s="2184"/>
      <c r="AK69" s="2184"/>
      <c r="AL69" s="2184"/>
      <c r="AM69" s="2184"/>
      <c r="AN69" s="2184"/>
      <c r="AO69" s="2184"/>
      <c r="AP69" s="2184"/>
      <c r="AQ69" s="2184"/>
      <c r="AR69" s="2184"/>
      <c r="AS69" s="2184"/>
      <c r="AT69" s="2184"/>
      <c r="AU69" s="2184"/>
      <c r="AV69" s="2177" t="s">
        <v>670</v>
      </c>
      <c r="AW69" s="2083"/>
      <c r="AX69" s="2083"/>
      <c r="AY69" s="2083"/>
      <c r="AZ69" s="2083"/>
      <c r="BA69" s="2083"/>
      <c r="BB69" s="2083"/>
      <c r="BC69" s="2084"/>
      <c r="BD69" s="1190"/>
      <c r="BE69" s="1194"/>
      <c r="BM69" s="1200" t="s">
        <v>546</v>
      </c>
    </row>
    <row r="70" spans="1:94" ht="15.75" customHeight="1">
      <c r="A70" s="1190"/>
      <c r="B70" s="2160" t="s">
        <v>2395</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2394</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670</v>
      </c>
    </row>
    <row r="71" spans="1:94" ht="15.75" customHeight="1" thickBot="1">
      <c r="A71" s="1190"/>
      <c r="B71" s="2160" t="s">
        <v>2393</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2392</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2391</v>
      </c>
    </row>
    <row r="72" spans="1:94" ht="15.75" customHeight="1">
      <c r="A72" s="1190"/>
      <c r="B72" s="2160" t="s">
        <v>2390</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2389</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2388</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2333</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2386</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2385</v>
      </c>
      <c r="C81" s="2155"/>
      <c r="D81" s="2155"/>
      <c r="E81" s="2155"/>
      <c r="F81" s="2155"/>
      <c r="G81" s="2155"/>
      <c r="H81" s="2155"/>
      <c r="I81" s="2155"/>
      <c r="J81" s="2155"/>
      <c r="K81" s="2155"/>
      <c r="L81" s="2155"/>
      <c r="M81" s="2155"/>
      <c r="N81" s="2155"/>
      <c r="O81" s="2155"/>
      <c r="P81" s="2155"/>
      <c r="Q81" s="2155"/>
      <c r="R81" s="2136" t="s">
        <v>2190</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2384</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2383</v>
      </c>
      <c r="AK83" s="2125"/>
      <c r="AL83" s="2125"/>
      <c r="AM83" s="2125"/>
      <c r="AN83" s="2125"/>
      <c r="AO83" s="2125"/>
      <c r="AP83" s="2125"/>
      <c r="AQ83" s="2125"/>
      <c r="AR83" s="2125"/>
      <c r="AS83" s="2125"/>
      <c r="AT83" s="2125"/>
      <c r="AU83" s="2125"/>
      <c r="AV83" s="2125"/>
      <c r="AW83" s="2125"/>
      <c r="AX83" s="2125"/>
      <c r="AY83" s="2141" t="s">
        <v>546</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2373</v>
      </c>
      <c r="J84" s="2103"/>
      <c r="K84" s="2103"/>
      <c r="L84" s="2103"/>
      <c r="M84" s="2103"/>
      <c r="N84" s="2103"/>
      <c r="O84" s="2103" t="s">
        <v>2349</v>
      </c>
      <c r="P84" s="2103"/>
      <c r="Q84" s="2103"/>
      <c r="R84" s="2103"/>
      <c r="S84" s="2103"/>
      <c r="T84" s="2103"/>
      <c r="U84" s="2103"/>
      <c r="V84" s="2139" t="s">
        <v>2348</v>
      </c>
      <c r="W84" s="2139"/>
      <c r="X84" s="2139"/>
      <c r="Y84" s="2139"/>
      <c r="Z84" s="2139"/>
      <c r="AA84" s="2139"/>
      <c r="AB84" s="2073" t="s">
        <v>2372</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2371</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2370</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2377</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2369</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2381</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2380</v>
      </c>
      <c r="C94" s="2155"/>
      <c r="D94" s="2155"/>
      <c r="E94" s="2155"/>
      <c r="F94" s="2155"/>
      <c r="G94" s="2155"/>
      <c r="H94" s="2155"/>
      <c r="I94" s="2155"/>
      <c r="J94" s="2155"/>
      <c r="K94" s="2155"/>
      <c r="L94" s="2155"/>
      <c r="M94" s="2155"/>
      <c r="N94" s="2155"/>
      <c r="O94" s="2155"/>
      <c r="P94" s="2155"/>
      <c r="Q94" s="2156"/>
      <c r="R94" s="2136" t="s">
        <v>2190</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2379</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2378</v>
      </c>
      <c r="AK96" s="2125"/>
      <c r="AL96" s="2125"/>
      <c r="AM96" s="2125"/>
      <c r="AN96" s="2125"/>
      <c r="AO96" s="2125"/>
      <c r="AP96" s="2125"/>
      <c r="AQ96" s="2125"/>
      <c r="AR96" s="2125"/>
      <c r="AS96" s="2125"/>
      <c r="AT96" s="2125"/>
      <c r="AU96" s="2125"/>
      <c r="AV96" s="2125"/>
      <c r="AW96" s="2125"/>
      <c r="AX96" s="2125"/>
      <c r="AY96" s="2141" t="s">
        <v>546</v>
      </c>
      <c r="AZ96" s="2141"/>
      <c r="BA96" s="2141"/>
      <c r="BB96" s="2142"/>
      <c r="BC96" s="1190"/>
      <c r="BD96" s="1190"/>
      <c r="BE96" s="1194"/>
      <c r="BQ96" s="1256" t="str">
        <f>Application!M243&amp;IF(TRIM(Application!AA249)&lt;&gt;""," ("&amp;Application!AA249&amp;")","")</f>
        <v>Pacific Southwest Community Development Corporation</v>
      </c>
      <c r="BR96" s="1259">
        <f>Application!AH246</f>
        <v>0.01</v>
      </c>
      <c r="CM96" s="1188"/>
      <c r="CN96" s="1188"/>
      <c r="CO96" s="1188"/>
      <c r="CP96" s="1188"/>
    </row>
    <row r="97" spans="1:94" ht="15.75" customHeight="1">
      <c r="A97" s="1190"/>
      <c r="B97" s="2135"/>
      <c r="C97" s="2103"/>
      <c r="D97" s="2103"/>
      <c r="E97" s="2103"/>
      <c r="F97" s="2103"/>
      <c r="G97" s="2103"/>
      <c r="H97" s="2103"/>
      <c r="I97" s="2103" t="s">
        <v>2373</v>
      </c>
      <c r="J97" s="2103"/>
      <c r="K97" s="2103"/>
      <c r="L97" s="2103"/>
      <c r="M97" s="2103"/>
      <c r="N97" s="2103"/>
      <c r="O97" s="2103" t="s">
        <v>2349</v>
      </c>
      <c r="P97" s="2103"/>
      <c r="Q97" s="2103"/>
      <c r="R97" s="2103"/>
      <c r="S97" s="2103"/>
      <c r="T97" s="2103"/>
      <c r="U97" s="2103"/>
      <c r="V97" s="2139" t="s">
        <v>2348</v>
      </c>
      <c r="W97" s="2139"/>
      <c r="X97" s="2139"/>
      <c r="Y97" s="2139"/>
      <c r="Z97" s="2139"/>
      <c r="AA97" s="2139"/>
      <c r="AB97" s="2073" t="s">
        <v>2372</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CIC VDR II, LLC (Chelsea Investment Corporation)</v>
      </c>
      <c r="BR97" s="1259">
        <f>Application!AH254</f>
        <v>0.03</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2371</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2370</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2377</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2369</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2374</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2373</v>
      </c>
      <c r="J108" s="2103"/>
      <c r="K108" s="2103"/>
      <c r="L108" s="2103"/>
      <c r="M108" s="2103"/>
      <c r="N108" s="2103"/>
      <c r="O108" s="2103" t="s">
        <v>2349</v>
      </c>
      <c r="P108" s="2103"/>
      <c r="Q108" s="2103"/>
      <c r="R108" s="2103"/>
      <c r="S108" s="2103"/>
      <c r="T108" s="2103"/>
      <c r="U108" s="2103"/>
      <c r="V108" s="2139" t="s">
        <v>2348</v>
      </c>
      <c r="W108" s="2139"/>
      <c r="X108" s="2139"/>
      <c r="Y108" s="2139"/>
      <c r="Z108" s="2139"/>
      <c r="AA108" s="2139"/>
      <c r="AB108" s="2073" t="s">
        <v>2372</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2371</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2370</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2369</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2367</v>
      </c>
      <c r="C117" s="2109"/>
      <c r="D117" s="2109"/>
      <c r="E117" s="2109"/>
      <c r="F117" s="2109"/>
      <c r="G117" s="2109"/>
      <c r="H117" s="2109"/>
      <c r="I117" s="2109"/>
      <c r="J117" s="2109"/>
      <c r="K117" s="2109"/>
      <c r="L117" s="2109"/>
      <c r="M117" s="2109"/>
      <c r="N117" s="2109"/>
      <c r="O117" s="2109"/>
      <c r="P117" s="2109"/>
      <c r="Q117" s="2109"/>
      <c r="R117" s="2109"/>
      <c r="S117" s="2109"/>
      <c r="T117" s="2109"/>
      <c r="U117" s="2112" t="s">
        <v>546</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2367</v>
      </c>
      <c r="C121" s="2117"/>
      <c r="D121" s="2117"/>
      <c r="E121" s="2117"/>
      <c r="F121" s="2117"/>
      <c r="G121" s="2117"/>
      <c r="H121" s="2117"/>
      <c r="I121" s="2117"/>
      <c r="J121" s="2117"/>
      <c r="K121" s="2117"/>
      <c r="L121" s="2117"/>
      <c r="M121" s="2117"/>
      <c r="N121" s="2117"/>
      <c r="O121" s="2117"/>
      <c r="P121" s="2117"/>
      <c r="Q121" s="2117"/>
      <c r="R121" s="2117"/>
      <c r="S121" s="2117"/>
      <c r="T121" s="2117"/>
      <c r="U121" s="2120" t="s">
        <v>546</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2365</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1577</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2364</v>
      </c>
      <c r="J127" s="2103"/>
      <c r="K127" s="2103"/>
      <c r="L127" s="2103"/>
      <c r="M127" s="2103"/>
      <c r="N127" s="2103"/>
      <c r="O127" s="2104" t="s">
        <v>2363</v>
      </c>
      <c r="P127" s="2104"/>
      <c r="Q127" s="2104"/>
      <c r="R127" s="2104"/>
      <c r="S127" s="2104"/>
      <c r="T127" s="2104"/>
      <c r="U127" s="2105"/>
      <c r="V127" s="1190"/>
      <c r="W127" s="1190"/>
      <c r="X127" s="2043" t="s">
        <v>2333</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2347</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2346</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2361</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2349</v>
      </c>
      <c r="J134" s="2078"/>
      <c r="K134" s="2078"/>
      <c r="L134" s="2078"/>
      <c r="M134" s="2078"/>
      <c r="N134" s="2078"/>
      <c r="O134" s="2078"/>
      <c r="P134" s="2078" t="s">
        <v>2348</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2347</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2346</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2360</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546</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2359</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2358</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546</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2357</v>
      </c>
      <c r="C142" s="2086"/>
      <c r="D142" s="2086"/>
      <c r="E142" s="2086"/>
      <c r="F142" s="2086"/>
      <c r="G142" s="2086"/>
      <c r="H142" s="2086"/>
      <c r="I142" s="2086"/>
      <c r="J142" s="2086"/>
      <c r="K142" s="2086"/>
      <c r="L142" s="2086"/>
      <c r="M142" s="2086"/>
      <c r="N142" s="2086"/>
      <c r="O142" s="2086"/>
      <c r="P142" s="2086"/>
      <c r="Q142" s="2086"/>
      <c r="R142" s="2087" t="s">
        <v>2356</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250</v>
      </c>
      <c r="BD142" s="1190"/>
      <c r="BE142" s="1194"/>
    </row>
    <row r="143" spans="1:57" ht="15.75" customHeight="1">
      <c r="A143" s="1190"/>
      <c r="B143" s="2089" t="s">
        <v>2355</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2352</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2351</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2349</v>
      </c>
      <c r="J157" s="2078"/>
      <c r="K157" s="2078"/>
      <c r="L157" s="2078"/>
      <c r="M157" s="2078"/>
      <c r="N157" s="2078"/>
      <c r="O157" s="2078"/>
      <c r="P157" s="2078" t="s">
        <v>2350</v>
      </c>
      <c r="Q157" s="2078"/>
      <c r="R157" s="2078"/>
      <c r="S157" s="2078"/>
      <c r="T157" s="2078"/>
      <c r="U157" s="2079"/>
      <c r="V157" s="1190"/>
      <c r="W157" s="1190"/>
      <c r="X157" s="2040"/>
      <c r="Y157" s="2041"/>
      <c r="Z157" s="2041"/>
      <c r="AA157" s="2041"/>
      <c r="AB157" s="2041"/>
      <c r="AC157" s="2041"/>
      <c r="AD157" s="2041"/>
      <c r="AE157" s="2078" t="s">
        <v>2349</v>
      </c>
      <c r="AF157" s="2078"/>
      <c r="AG157" s="2078"/>
      <c r="AH157" s="2078"/>
      <c r="AI157" s="2078"/>
      <c r="AJ157" s="2078"/>
      <c r="AK157" s="2078"/>
      <c r="AL157" s="2078" t="s">
        <v>2348</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2347</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2347</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2346</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2345</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2330</v>
      </c>
      <c r="D163" s="2041"/>
      <c r="E163" s="2041"/>
      <c r="F163" s="2041"/>
      <c r="G163" s="2041"/>
      <c r="H163" s="2041"/>
      <c r="I163" s="2041"/>
      <c r="J163" s="2041"/>
      <c r="K163" s="2041"/>
      <c r="L163" s="2041"/>
      <c r="M163" s="2041"/>
      <c r="N163" s="2041"/>
      <c r="O163" s="2041"/>
      <c r="P163" s="2041"/>
      <c r="Q163" s="2041" t="s">
        <v>2344</v>
      </c>
      <c r="R163" s="2041"/>
      <c r="S163" s="2041"/>
      <c r="T163" s="2073" t="s">
        <v>2343</v>
      </c>
      <c r="U163" s="2073"/>
      <c r="V163" s="2073"/>
      <c r="W163" s="2073"/>
      <c r="X163" s="2073"/>
      <c r="Y163" s="2073"/>
      <c r="Z163" s="2073"/>
      <c r="AA163" s="2073"/>
      <c r="AB163" s="2041" t="s">
        <v>2342</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2341</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2340</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2339</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2338</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170</v>
      </c>
      <c r="D168" s="2056"/>
      <c r="E168" s="2056"/>
      <c r="F168" s="2057" t="s">
        <v>2319</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170</v>
      </c>
      <c r="D169" s="2056"/>
      <c r="E169" s="2056"/>
      <c r="F169" s="2057" t="s">
        <v>2319</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170</v>
      </c>
      <c r="D170" s="2062"/>
      <c r="E170" s="2062"/>
      <c r="F170" s="2063" t="s">
        <v>2319</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2337</v>
      </c>
      <c r="D172" s="2027"/>
      <c r="E172" s="2027"/>
      <c r="F172" s="2027"/>
      <c r="G172" s="2027"/>
      <c r="H172" s="2027"/>
      <c r="I172" s="2027"/>
      <c r="J172" s="2027"/>
      <c r="K172" s="2027"/>
      <c r="L172" s="2027"/>
      <c r="M172" s="2027"/>
      <c r="N172" s="2036"/>
      <c r="O172" s="1190"/>
      <c r="P172" s="2037" t="s">
        <v>2336</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2335</v>
      </c>
      <c r="D173" s="2041"/>
      <c r="E173" s="2041"/>
      <c r="F173" s="2041"/>
      <c r="G173" s="2041"/>
      <c r="H173" s="2041"/>
      <c r="I173" s="2041" t="s">
        <v>2334</v>
      </c>
      <c r="J173" s="2041"/>
      <c r="K173" s="2041"/>
      <c r="L173" s="2041"/>
      <c r="M173" s="2041"/>
      <c r="N173" s="2042"/>
      <c r="O173" s="1190"/>
      <c r="P173" s="2043" t="s">
        <v>2333</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2332</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2330</v>
      </c>
      <c r="D184" s="2027"/>
      <c r="E184" s="2027"/>
      <c r="F184" s="2027"/>
      <c r="G184" s="2027"/>
      <c r="H184" s="2027"/>
      <c r="I184" s="2027"/>
      <c r="J184" s="2027"/>
      <c r="K184" s="2027"/>
      <c r="L184" s="2027"/>
      <c r="M184" s="2027"/>
      <c r="N184" s="2027" t="s">
        <v>2331</v>
      </c>
      <c r="O184" s="2027"/>
      <c r="P184" s="2027"/>
      <c r="Q184" s="2027"/>
      <c r="R184" s="2027"/>
      <c r="S184" s="2027"/>
      <c r="T184" s="2027"/>
      <c r="U184" s="2028" t="s">
        <v>2330</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2329</v>
      </c>
      <c r="D185" s="2006"/>
      <c r="E185" s="2006"/>
      <c r="F185" s="2006"/>
      <c r="G185" s="2006"/>
      <c r="H185" s="2006"/>
      <c r="I185" s="2006"/>
      <c r="J185" s="2006"/>
      <c r="K185" s="2006"/>
      <c r="L185" s="2006"/>
      <c r="M185" s="2006"/>
      <c r="N185" s="2016">
        <f>'Sources and Uses Budget'!B105</f>
        <v>44881405</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2328</v>
      </c>
      <c r="D186" s="2006"/>
      <c r="E186" s="2006"/>
      <c r="F186" s="2006"/>
      <c r="G186" s="2006"/>
      <c r="H186" s="2006"/>
      <c r="I186" s="2006"/>
      <c r="J186" s="2006"/>
      <c r="K186" s="2006"/>
      <c r="L186" s="2006"/>
      <c r="M186" s="2006"/>
      <c r="N186" s="2016">
        <f>N185/J29</f>
        <v>467514.63541666669</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2327</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2326</v>
      </c>
      <c r="D188" s="2006"/>
      <c r="E188" s="2006"/>
      <c r="F188" s="2006"/>
      <c r="G188" s="2006"/>
      <c r="H188" s="2006"/>
      <c r="I188" s="2006"/>
      <c r="J188" s="2006"/>
      <c r="K188" s="2006"/>
      <c r="L188" s="2006"/>
      <c r="M188" s="2006"/>
      <c r="N188" s="2035">
        <f>SUM('Sources and Uses Budget'!B85:B86)</f>
        <v>2719210</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2325</v>
      </c>
      <c r="D189" s="2006"/>
      <c r="E189" s="2006"/>
      <c r="F189" s="2006"/>
      <c r="G189" s="2006"/>
      <c r="H189" s="2006"/>
      <c r="I189" s="2006"/>
      <c r="J189" s="2006"/>
      <c r="K189" s="2006"/>
      <c r="L189" s="2006"/>
      <c r="M189" s="2006"/>
      <c r="N189" s="2035">
        <f>'Sources and Uses Budget'!B8</f>
        <v>3360000</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2323</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2324</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2323</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2322</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2321</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300</v>
      </c>
      <c r="D192" s="1998"/>
      <c r="E192" s="1990" t="s">
        <v>2319</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2320</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300</v>
      </c>
      <c r="D193" s="1989"/>
      <c r="E193" s="1990" t="s">
        <v>2319</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300</v>
      </c>
      <c r="D194" s="1977"/>
      <c r="E194" s="1978" t="s">
        <v>2319</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2318</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2317</v>
      </c>
      <c r="D195" s="1960"/>
      <c r="E195" s="1960"/>
      <c r="F195" s="1960"/>
      <c r="G195" s="1960"/>
      <c r="H195" s="1960"/>
      <c r="I195" s="1960"/>
      <c r="J195" s="1960"/>
      <c r="K195" s="1960"/>
      <c r="L195" s="1960"/>
      <c r="M195" s="1960"/>
      <c r="N195" s="1961">
        <f>SUM(N187:T194)</f>
        <v>6079210</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2316</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2315</v>
      </c>
      <c r="D196" s="1970"/>
      <c r="E196" s="1970"/>
      <c r="F196" s="1970"/>
      <c r="G196" s="1970"/>
      <c r="H196" s="1970"/>
      <c r="I196" s="1970"/>
      <c r="J196" s="1970"/>
      <c r="K196" s="1970"/>
      <c r="L196" s="1970"/>
      <c r="M196" s="1970"/>
      <c r="N196" s="1971">
        <f>(N185-N195)/J29</f>
        <v>404189.53125</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2314</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2313</v>
      </c>
      <c r="D200" s="1957"/>
      <c r="E200" s="1957"/>
      <c r="F200" s="1957"/>
      <c r="G200" s="1957"/>
      <c r="H200" s="1957"/>
      <c r="I200" s="1957"/>
      <c r="J200" s="1957"/>
      <c r="K200" s="1957"/>
      <c r="L200" s="1957"/>
      <c r="M200" s="1957"/>
      <c r="N200" s="1957"/>
      <c r="O200" s="1958" t="s">
        <v>2312</v>
      </c>
      <c r="P200" s="1958"/>
      <c r="Q200" s="1958"/>
      <c r="R200" s="1958"/>
      <c r="S200" s="1958"/>
      <c r="T200" s="1958"/>
      <c r="U200" s="1958"/>
      <c r="V200" s="1958"/>
      <c r="W200" s="1958"/>
      <c r="X200" s="1958" t="s">
        <v>2311</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2310</v>
      </c>
      <c r="D201" s="1949"/>
      <c r="E201" s="1949"/>
      <c r="F201" s="1949"/>
      <c r="G201" s="1949"/>
      <c r="H201" s="1949"/>
      <c r="I201" s="1949"/>
      <c r="J201" s="1949"/>
      <c r="K201" s="1949"/>
      <c r="L201" s="1949"/>
      <c r="M201" s="1949"/>
      <c r="N201" s="1949"/>
      <c r="O201" s="1950" t="s">
        <v>2309</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855</v>
      </c>
      <c r="D202" s="1949"/>
      <c r="E202" s="1949"/>
      <c r="F202" s="1949"/>
      <c r="G202" s="1949"/>
      <c r="H202" s="1949"/>
      <c r="I202" s="1949"/>
      <c r="J202" s="1949"/>
      <c r="K202" s="1949"/>
      <c r="L202" s="1949"/>
      <c r="M202" s="1949"/>
      <c r="N202" s="1949"/>
      <c r="O202" s="1950" t="s">
        <v>2309</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2308</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2307</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2306</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2305</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2304</v>
      </c>
      <c r="D207" s="1928"/>
      <c r="E207" s="1928"/>
      <c r="F207" s="1929"/>
      <c r="G207" s="1933" t="s">
        <v>2303</v>
      </c>
      <c r="H207" s="1928"/>
      <c r="I207" s="1928"/>
      <c r="J207" s="1928"/>
      <c r="K207" s="1928"/>
      <c r="L207" s="1928"/>
      <c r="M207" s="1928"/>
      <c r="N207" s="1928"/>
      <c r="O207" s="1929"/>
      <c r="P207" s="1935" t="s">
        <v>2302</v>
      </c>
      <c r="Q207" s="1936"/>
      <c r="R207" s="1936"/>
      <c r="S207" s="1936"/>
      <c r="T207" s="1937"/>
      <c r="U207" s="1941" t="s">
        <v>2301</v>
      </c>
      <c r="V207" s="1942"/>
      <c r="W207" s="1942"/>
      <c r="X207" s="1943"/>
      <c r="Y207" s="1941" t="s">
        <v>2300</v>
      </c>
      <c r="Z207" s="1942"/>
      <c r="AA207" s="1942"/>
      <c r="AB207" s="1943"/>
      <c r="AC207" s="1941" t="s">
        <v>2299</v>
      </c>
      <c r="AD207" s="1942"/>
      <c r="AE207" s="1942"/>
      <c r="AF207" s="1943"/>
      <c r="AG207" s="1933" t="s">
        <v>2298</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1886</v>
      </c>
      <c r="H209" s="1918"/>
      <c r="I209" s="1918"/>
      <c r="J209" s="1918"/>
      <c r="K209" s="1918"/>
      <c r="L209" s="1918"/>
      <c r="M209" s="1918"/>
      <c r="N209" s="1918"/>
      <c r="O209" s="1918"/>
      <c r="P209" s="1919"/>
      <c r="Q209" s="1922"/>
      <c r="R209" s="1922"/>
      <c r="S209" s="1922"/>
      <c r="T209" s="1922"/>
      <c r="U209" s="1920" t="s">
        <v>1886</v>
      </c>
      <c r="V209" s="1920"/>
      <c r="W209" s="1920"/>
      <c r="X209" s="1920"/>
      <c r="Y209" s="1920" t="s">
        <v>1886</v>
      </c>
      <c r="Z209" s="1920"/>
      <c r="AA209" s="1920"/>
      <c r="AB209" s="1920"/>
      <c r="AC209" s="1921" t="s">
        <v>1886</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1886</v>
      </c>
      <c r="H210" s="1918"/>
      <c r="I210" s="1918"/>
      <c r="J210" s="1918"/>
      <c r="K210" s="1918"/>
      <c r="L210" s="1918"/>
      <c r="M210" s="1918"/>
      <c r="N210" s="1918"/>
      <c r="O210" s="1918"/>
      <c r="P210" s="1919"/>
      <c r="Q210" s="1919"/>
      <c r="R210" s="1919"/>
      <c r="S210" s="1919"/>
      <c r="T210" s="1919"/>
      <c r="U210" s="1920" t="s">
        <v>1886</v>
      </c>
      <c r="V210" s="1920"/>
      <c r="W210" s="1920"/>
      <c r="X210" s="1920"/>
      <c r="Y210" s="1920" t="s">
        <v>1886</v>
      </c>
      <c r="Z210" s="1920"/>
      <c r="AA210" s="1920"/>
      <c r="AB210" s="1920"/>
      <c r="AC210" s="1921" t="s">
        <v>1886</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1886</v>
      </c>
      <c r="H211" s="1918"/>
      <c r="I211" s="1918"/>
      <c r="J211" s="1918"/>
      <c r="K211" s="1918"/>
      <c r="L211" s="1918"/>
      <c r="M211" s="1918"/>
      <c r="N211" s="1918"/>
      <c r="O211" s="1918"/>
      <c r="P211" s="1919"/>
      <c r="Q211" s="1919"/>
      <c r="R211" s="1919"/>
      <c r="S211" s="1919"/>
      <c r="T211" s="1919"/>
      <c r="U211" s="1920" t="s">
        <v>1886</v>
      </c>
      <c r="V211" s="1920"/>
      <c r="W211" s="1920"/>
      <c r="X211" s="1920"/>
      <c r="Y211" s="1920" t="s">
        <v>1886</v>
      </c>
      <c r="Z211" s="1920"/>
      <c r="AA211" s="1920"/>
      <c r="AB211" s="1920"/>
      <c r="AC211" s="1921" t="s">
        <v>1886</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1886</v>
      </c>
      <c r="H212" s="1918"/>
      <c r="I212" s="1918"/>
      <c r="J212" s="1918"/>
      <c r="K212" s="1918"/>
      <c r="L212" s="1918"/>
      <c r="M212" s="1918"/>
      <c r="N212" s="1918"/>
      <c r="O212" s="1918"/>
      <c r="P212" s="1919"/>
      <c r="Q212" s="1919"/>
      <c r="R212" s="1919"/>
      <c r="S212" s="1919"/>
      <c r="T212" s="1919"/>
      <c r="U212" s="1920" t="s">
        <v>1886</v>
      </c>
      <c r="V212" s="1920"/>
      <c r="W212" s="1920"/>
      <c r="X212" s="1920"/>
      <c r="Y212" s="1920" t="s">
        <v>1886</v>
      </c>
      <c r="Z212" s="1920"/>
      <c r="AA212" s="1920"/>
      <c r="AB212" s="1920"/>
      <c r="AC212" s="1921" t="s">
        <v>1886</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1886</v>
      </c>
      <c r="H213" s="1918"/>
      <c r="I213" s="1918"/>
      <c r="J213" s="1918"/>
      <c r="K213" s="1918"/>
      <c r="L213" s="1918"/>
      <c r="M213" s="1918"/>
      <c r="N213" s="1918"/>
      <c r="O213" s="1918"/>
      <c r="P213" s="1919"/>
      <c r="Q213" s="1919"/>
      <c r="R213" s="1919"/>
      <c r="S213" s="1919"/>
      <c r="T213" s="1919"/>
      <c r="U213" s="1920" t="s">
        <v>1886</v>
      </c>
      <c r="V213" s="1920"/>
      <c r="W213" s="1920"/>
      <c r="X213" s="1920"/>
      <c r="Y213" s="1920" t="s">
        <v>1886</v>
      </c>
      <c r="Z213" s="1920"/>
      <c r="AA213" s="1920"/>
      <c r="AB213" s="1920"/>
      <c r="AC213" s="1921" t="s">
        <v>1886</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1886</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1886</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1886</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2297</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2295</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2294</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2293</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2292</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2290</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2289</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2288</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2287</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2286</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442</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2285</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2284</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81" sqref="AB81:AF8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6" t="s">
        <v>1281</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2.9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NON-DDA/
NON-QCT Building(s)</v>
      </c>
      <c r="U7" s="2356"/>
      <c r="V7" s="2356"/>
      <c r="W7" s="2356"/>
      <c r="X7" s="2356"/>
      <c r="Y7" s="2356" t="str">
        <f>IF(T25=100%,"",'Sources and Basis Breakdown'!G2)</f>
        <v/>
      </c>
      <c r="Z7" s="2356"/>
      <c r="AA7" s="2356"/>
      <c r="AB7" s="2356"/>
      <c r="AC7" s="2356"/>
      <c r="AD7" s="2356" t="str">
        <f xml:space="preserve"> IF(T25=100%, 'Sources and Basis Breakdown'!J2,'Sources and Basis Breakdown'!I2)</f>
        <v>30% PVC for Acquisition
NON-DDA/
NON-QCT Building(s)</v>
      </c>
      <c r="AE7" s="2356"/>
      <c r="AF7" s="2356"/>
      <c r="AG7" s="2356"/>
      <c r="AH7" s="2356"/>
      <c r="AI7" s="2356" t="str">
        <f>IF(T25=100%,"",'Sources and Basis Breakdown'!J2)</f>
        <v/>
      </c>
      <c r="AJ7" s="2356"/>
      <c r="AK7" s="2356"/>
      <c r="AL7" s="2356"/>
      <c r="AM7" s="2356"/>
    </row>
    <row r="8" spans="1:40" ht="12.9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2.9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2.9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2.95" customHeight="1">
      <c r="B11" s="2342" t="s">
        <v>375</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39157045</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2.95" customHeight="1">
      <c r="B12" s="2380" t="s">
        <v>498</v>
      </c>
      <c r="C12" s="1308"/>
      <c r="D12" s="1308"/>
      <c r="E12" s="1308"/>
      <c r="F12" s="1308"/>
      <c r="G12" s="1308"/>
      <c r="H12" s="1308"/>
      <c r="I12" s="1308"/>
      <c r="J12" s="1308"/>
      <c r="K12" s="1308"/>
      <c r="L12" s="1308"/>
      <c r="M12" s="1308"/>
      <c r="N12" s="1308"/>
      <c r="O12" s="1308"/>
      <c r="P12" s="1308"/>
      <c r="Q12" s="1308"/>
      <c r="R12" s="1308"/>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2.95" customHeight="1">
      <c r="B13" s="435"/>
      <c r="C13" s="2382" t="s">
        <v>499</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82" t="s">
        <v>500</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2.95" customHeight="1">
      <c r="B15" s="435"/>
      <c r="C15" s="2382" t="s">
        <v>501</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2.95" customHeight="1">
      <c r="B16" s="435"/>
      <c r="C16" s="2382" t="s">
        <v>806</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2.95" customHeight="1">
      <c r="B17" s="435"/>
      <c r="C17" s="2382" t="s">
        <v>502</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2.95" customHeight="1">
      <c r="A18"/>
      <c r="B18" s="1150"/>
      <c r="C18" s="1565" t="s">
        <v>961</v>
      </c>
      <c r="D18" s="1565"/>
      <c r="E18" s="1565"/>
      <c r="F18" s="1565"/>
      <c r="G18" s="1565"/>
      <c r="H18" s="1565"/>
      <c r="I18" s="1565"/>
      <c r="J18" s="1565"/>
      <c r="K18" s="1565"/>
      <c r="L18" s="1565"/>
      <c r="M18" s="1565"/>
      <c r="N18" s="1565"/>
      <c r="O18" s="1565"/>
      <c r="P18" s="1565"/>
      <c r="Q18" s="1565"/>
      <c r="R18" s="1565"/>
      <c r="S18" s="1566"/>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2.95" customHeight="1">
      <c r="B19" s="1150"/>
      <c r="C19" s="1565" t="s">
        <v>961</v>
      </c>
      <c r="D19" s="1565"/>
      <c r="E19" s="1565"/>
      <c r="F19" s="1565"/>
      <c r="G19" s="1565"/>
      <c r="H19" s="1565"/>
      <c r="I19" s="1565"/>
      <c r="J19" s="1565"/>
      <c r="K19" s="1565"/>
      <c r="L19" s="1565"/>
      <c r="M19" s="1565"/>
      <c r="N19" s="1565"/>
      <c r="O19" s="1565"/>
      <c r="P19" s="1565"/>
      <c r="Q19" s="1565"/>
      <c r="R19" s="1565"/>
      <c r="S19" s="1566"/>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2.95" customHeight="1">
      <c r="B20" s="2342" t="s">
        <v>503</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2.95" customHeight="1">
      <c r="B21" s="2342" t="s">
        <v>1264</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2.95" customHeight="1">
      <c r="B22" s="2342" t="s">
        <v>504</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42" t="s">
        <v>505</v>
      </c>
      <c r="C23" s="2343"/>
      <c r="D23" s="2343"/>
      <c r="E23" s="2343"/>
      <c r="F23" s="2343"/>
      <c r="G23" s="2343"/>
      <c r="H23" s="2343"/>
      <c r="I23" s="2343"/>
      <c r="J23" s="2343"/>
      <c r="K23" s="2343"/>
      <c r="L23" s="2343"/>
      <c r="M23" s="2343"/>
      <c r="N23" s="2343"/>
      <c r="O23" s="2343"/>
      <c r="P23" s="2343"/>
      <c r="Q23" s="2343"/>
      <c r="R23" s="2343"/>
      <c r="S23" s="2344"/>
      <c r="T23" s="2355">
        <f>T11+T22</f>
        <v>39157045</v>
      </c>
      <c r="U23" s="2336"/>
      <c r="V23" s="2336"/>
      <c r="W23" s="2336"/>
      <c r="X23" s="2336"/>
      <c r="Y23" s="2355">
        <f>Y11+Y22</f>
        <v>0</v>
      </c>
      <c r="Z23" s="2336"/>
      <c r="AA23" s="2336"/>
      <c r="AB23" s="2336"/>
      <c r="AC23" s="2336"/>
      <c r="AD23" s="2355">
        <f>AD11+AD22</f>
        <v>0</v>
      </c>
      <c r="AE23" s="2336"/>
      <c r="AF23" s="2336"/>
      <c r="AG23" s="2336"/>
      <c r="AH23" s="2336"/>
      <c r="AI23" s="2355">
        <f>AI11+AI22</f>
        <v>0</v>
      </c>
      <c r="AJ23" s="2336"/>
      <c r="AK23" s="2336"/>
      <c r="AL23" s="2336"/>
      <c r="AM23" s="2336"/>
    </row>
    <row r="24" spans="1:40" ht="12.95" customHeight="1">
      <c r="B24" s="2342" t="s">
        <v>962</v>
      </c>
      <c r="C24" s="2343"/>
      <c r="D24" s="2343"/>
      <c r="E24" s="2343"/>
      <c r="F24" s="2343"/>
      <c r="G24" s="2343"/>
      <c r="H24" s="2343"/>
      <c r="I24" s="2343"/>
      <c r="J24" s="2343"/>
      <c r="K24" s="2343"/>
      <c r="L24" s="2343"/>
      <c r="M24" s="2343"/>
      <c r="N24" s="2343"/>
      <c r="O24" s="2343"/>
      <c r="P24" s="2343"/>
      <c r="Q24" s="2343"/>
      <c r="R24" s="2343"/>
      <c r="S24" s="2344"/>
      <c r="T24" s="2346">
        <f>Application!AJ1053</f>
        <v>61162830</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2.95" customHeight="1">
      <c r="B25" s="2386" t="s">
        <v>1265</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42" t="s">
        <v>506</v>
      </c>
      <c r="C26" s="2343"/>
      <c r="D26" s="2343"/>
      <c r="E26" s="2343"/>
      <c r="F26" s="2343"/>
      <c r="G26" s="2343"/>
      <c r="H26" s="2343"/>
      <c r="I26" s="2343"/>
      <c r="J26" s="2343"/>
      <c r="K26" s="2343"/>
      <c r="L26" s="2343"/>
      <c r="M26" s="2343"/>
      <c r="N26" s="2343"/>
      <c r="O26" s="2343"/>
      <c r="P26" s="2343"/>
      <c r="Q26" s="2343"/>
      <c r="R26" s="2343"/>
      <c r="S26" s="2344"/>
      <c r="T26" s="2355">
        <f>T23*T25</f>
        <v>39157045</v>
      </c>
      <c r="U26" s="2336"/>
      <c r="V26" s="2336"/>
      <c r="W26" s="2336"/>
      <c r="X26" s="2336"/>
      <c r="Y26" s="2355">
        <f>Y23*Y25</f>
        <v>0</v>
      </c>
      <c r="Z26" s="2336"/>
      <c r="AA26" s="2336"/>
      <c r="AB26" s="2336"/>
      <c r="AC26" s="2336"/>
      <c r="AD26" s="2355">
        <f>AD23*AD25</f>
        <v>0</v>
      </c>
      <c r="AE26" s="2336"/>
      <c r="AF26" s="2336"/>
      <c r="AG26" s="2336"/>
      <c r="AH26" s="2336"/>
      <c r="AI26" s="2355">
        <f>AI23*AI25</f>
        <v>0</v>
      </c>
      <c r="AJ26" s="2336"/>
      <c r="AK26" s="2336"/>
      <c r="AL26" s="2336"/>
      <c r="AM26" s="2336"/>
    </row>
    <row r="27" spans="1:40" ht="12.95" customHeight="1">
      <c r="A27" s="410"/>
      <c r="B27" s="2389" t="s">
        <v>426</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2.95" customHeight="1">
      <c r="A28" s="404"/>
      <c r="B28" s="2342" t="s">
        <v>507</v>
      </c>
      <c r="C28" s="2343"/>
      <c r="D28" s="2343"/>
      <c r="E28" s="2343"/>
      <c r="F28" s="2343"/>
      <c r="G28" s="2343"/>
      <c r="H28" s="2343"/>
      <c r="I28" s="2343"/>
      <c r="J28" s="2343"/>
      <c r="K28" s="2343"/>
      <c r="L28" s="2343"/>
      <c r="M28" s="2343"/>
      <c r="N28" s="2343"/>
      <c r="O28" s="2343"/>
      <c r="P28" s="2343"/>
      <c r="Q28" s="2343"/>
      <c r="R28" s="2343"/>
      <c r="S28" s="2344"/>
      <c r="T28" s="2355">
        <f>IF(ISERROR((T26*T27)),0,(T26*T27))</f>
        <v>39157045</v>
      </c>
      <c r="U28" s="2336"/>
      <c r="V28" s="2336"/>
      <c r="W28" s="2336"/>
      <c r="X28" s="2336"/>
      <c r="Y28" s="2355">
        <f>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2.95" customHeight="1">
      <c r="B29" s="2342" t="s">
        <v>524</v>
      </c>
      <c r="C29" s="2343"/>
      <c r="D29" s="2343"/>
      <c r="E29" s="2343"/>
      <c r="F29" s="2343"/>
      <c r="G29" s="2343"/>
      <c r="H29" s="2343"/>
      <c r="I29" s="2343"/>
      <c r="J29" s="2343"/>
      <c r="K29" s="2343"/>
      <c r="L29" s="2343"/>
      <c r="M29" s="2343"/>
      <c r="N29" s="2343"/>
      <c r="O29" s="2343"/>
      <c r="P29" s="2343"/>
      <c r="Q29" s="2343"/>
      <c r="R29" s="2343"/>
      <c r="S29" s="2344"/>
      <c r="T29" s="2346">
        <f>T28+Y28+AD28+AI28</f>
        <v>39157045</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2.95" customHeight="1">
      <c r="B30" s="2359" t="s">
        <v>1267</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2.95" customHeight="1">
      <c r="B31" s="2359" t="s">
        <v>1266</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1155</v>
      </c>
      <c r="Z35" s="2356"/>
      <c r="AA35" s="2356"/>
      <c r="AB35" s="2356"/>
      <c r="AC35" s="2356"/>
      <c r="AD35" s="2357" t="s">
        <v>369</v>
      </c>
      <c r="AE35" s="2357"/>
      <c r="AF35" s="2357"/>
      <c r="AG35" s="2357"/>
      <c r="AH35" s="2357"/>
    </row>
    <row r="36" spans="1:76" ht="12.95" customHeight="1">
      <c r="B36" s="407"/>
      <c r="X36" s="412"/>
      <c r="Y36" s="2356"/>
      <c r="Z36" s="2356"/>
      <c r="AA36" s="2356"/>
      <c r="AB36" s="2356"/>
      <c r="AC36" s="2356"/>
      <c r="AD36" s="2357"/>
      <c r="AE36" s="2357"/>
      <c r="AF36" s="2357"/>
      <c r="AG36" s="2357"/>
      <c r="AH36" s="235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2.95" customHeight="1">
      <c r="A38" s="404"/>
      <c r="B38" s="2342" t="s">
        <v>507</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39157045</v>
      </c>
      <c r="Z38" s="2336"/>
      <c r="AA38" s="2336"/>
      <c r="AB38" s="2336"/>
      <c r="AC38" s="2336"/>
      <c r="AD38" s="2336">
        <f>IF(T24&gt;=(T23+Y23+AD23+AI23),AD28+AI28,0)</f>
        <v>0</v>
      </c>
      <c r="AE38" s="2336"/>
      <c r="AF38" s="2336"/>
      <c r="AG38" s="2336"/>
      <c r="AH38" s="2336"/>
    </row>
    <row r="39" spans="1:76" ht="12.95" customHeight="1">
      <c r="B39" s="2342" t="s">
        <v>1692</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2.95" customHeight="1">
      <c r="A40" s="404"/>
      <c r="B40" s="2342" t="s">
        <v>643</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1566282</v>
      </c>
      <c r="Z40" s="2336"/>
      <c r="AA40" s="2336"/>
      <c r="AB40" s="2336"/>
      <c r="AC40" s="2336"/>
      <c r="AD40" s="2355">
        <f>ROUND(AD38*AD39,0)</f>
        <v>0</v>
      </c>
      <c r="AE40" s="2336"/>
      <c r="AF40" s="2336"/>
      <c r="AG40" s="2336"/>
      <c r="AH40" s="2336"/>
    </row>
    <row r="41" spans="1:76" ht="12.95" customHeight="1">
      <c r="B41" s="2342" t="s">
        <v>644</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1566282</v>
      </c>
      <c r="Z41" s="2354"/>
      <c r="AA41" s="2354"/>
      <c r="AB41" s="2354"/>
      <c r="AC41" s="2354"/>
      <c r="AD41" s="2354"/>
      <c r="AE41" s="2354"/>
      <c r="AF41" s="2354"/>
      <c r="AG41" s="2354"/>
      <c r="AH41" s="235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3" t="s">
        <v>1277</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2.95" customHeight="1" thickTop="1"/>
    <row r="46" spans="1:76" ht="12.95" customHeight="1">
      <c r="A46" s="404" t="s">
        <v>587</v>
      </c>
      <c r="C46" s="404" t="s">
        <v>282</v>
      </c>
    </row>
    <row r="47" spans="1:76" ht="12.95" customHeight="1">
      <c r="D47" s="404" t="s">
        <v>283</v>
      </c>
      <c r="AB47" s="2350">
        <f>'Sources and Uses Budget'!B105-MAX(IF('Sources and Uses Budget'!B15="",0,'Sources and Uses Budget'!B15),IF(Application!AG394="",0,Application!AG394))</f>
        <v>44881405</v>
      </c>
      <c r="AC47" s="2351"/>
      <c r="AD47" s="2351"/>
      <c r="AE47" s="2351"/>
      <c r="AF47" s="2352"/>
    </row>
    <row r="48" spans="1:76" ht="12.95" customHeight="1">
      <c r="D48" s="404" t="s">
        <v>21</v>
      </c>
      <c r="AB48" s="2350">
        <f>Application!AO639-MAX(IF('Sources and Uses Budget'!B15="",0,'Sources and Uses Budget'!B15),IF(Application!AG394="",0,Application!AG394))</f>
        <v>23652916</v>
      </c>
      <c r="AC48" s="2351"/>
      <c r="AD48" s="2351"/>
      <c r="AE48" s="2351"/>
      <c r="AF48" s="2352"/>
    </row>
    <row r="49" spans="1:76" ht="12.95" customHeight="1">
      <c r="D49" s="404" t="s">
        <v>91</v>
      </c>
      <c r="AB49" s="2350">
        <f>AB47-AB48</f>
        <v>21228489</v>
      </c>
      <c r="AC49" s="2351"/>
      <c r="AD49" s="2351"/>
      <c r="AE49" s="2351"/>
      <c r="AF49" s="2352"/>
    </row>
    <row r="50" spans="1:76" ht="12.95" customHeight="1">
      <c r="D50" s="404" t="s">
        <v>682</v>
      </c>
      <c r="AA50" s="415"/>
      <c r="AB50" s="2338">
        <v>0.87</v>
      </c>
      <c r="AC50" s="2339"/>
      <c r="AD50" s="2339"/>
      <c r="AE50" s="2339"/>
      <c r="AF50" s="2340"/>
    </row>
    <row r="51" spans="1:76" s="417" customFormat="1" ht="12.95" customHeight="1">
      <c r="A51" s="402"/>
      <c r="B51" s="402"/>
      <c r="C51" s="402"/>
      <c r="D51" s="402"/>
      <c r="E51" s="2349" t="s">
        <v>1851</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0">
        <f>ROUND(IF(ISERROR((AB49/AB50)),0,(AB49/AB50)),0)</f>
        <v>24400562</v>
      </c>
      <c r="AC54" s="2351"/>
      <c r="AD54" s="2351"/>
      <c r="AE54" s="2351"/>
      <c r="AF54" s="2352"/>
    </row>
    <row r="55" spans="1:76" ht="12.95" customHeight="1">
      <c r="D55" s="404" t="s">
        <v>333</v>
      </c>
      <c r="AB55" s="2350">
        <f>(AB54/10)</f>
        <v>2440056.2000000002</v>
      </c>
      <c r="AC55" s="2351"/>
      <c r="AD55" s="2351"/>
      <c r="AE55" s="2351"/>
      <c r="AF55" s="2352"/>
    </row>
    <row r="56" spans="1:76" ht="12.95" customHeight="1">
      <c r="D56" s="404" t="s">
        <v>757</v>
      </c>
      <c r="AB56" s="2350">
        <f>ROUND((IF((Y41&lt;AB55),Y41,AB55)),0)</f>
        <v>1566282</v>
      </c>
      <c r="AC56" s="2351"/>
      <c r="AD56" s="2351"/>
      <c r="AE56" s="2351"/>
      <c r="AF56" s="2352"/>
    </row>
    <row r="57" spans="1:76" ht="12.95" customHeight="1">
      <c r="D57" s="404" t="s">
        <v>756</v>
      </c>
      <c r="AB57" s="2350">
        <f>ROUND((10*AB56*AB50),0)</f>
        <v>13626653</v>
      </c>
      <c r="AC57" s="2351"/>
      <c r="AD57" s="2351"/>
      <c r="AE57" s="2351"/>
      <c r="AF57" s="2352"/>
    </row>
    <row r="58" spans="1:76" ht="12.95" customHeight="1">
      <c r="D58" s="404"/>
      <c r="AB58" s="423"/>
      <c r="AC58" s="423"/>
      <c r="AD58" s="423"/>
      <c r="AE58" s="423"/>
      <c r="AF58" s="423"/>
    </row>
    <row r="59" spans="1:76" ht="12.95" customHeight="1">
      <c r="D59" s="404" t="s">
        <v>755</v>
      </c>
      <c r="AB59" s="2334">
        <f>AB49-AB57</f>
        <v>7601836</v>
      </c>
      <c r="AC59" s="2334"/>
      <c r="AD59" s="2334"/>
      <c r="AE59" s="2334"/>
      <c r="AF59" s="2334"/>
    </row>
    <row r="60" spans="1:76" ht="12.95" customHeight="1">
      <c r="D60" s="404"/>
      <c r="AB60" s="423"/>
      <c r="AC60" s="423"/>
      <c r="AD60" s="423"/>
      <c r="AE60" s="423"/>
      <c r="AF60" s="423"/>
    </row>
    <row r="61" spans="1:76" s="204" customFormat="1" ht="12.9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2.95" customHeight="1" thickTop="1"/>
    <row r="63" spans="1:76" ht="12.95" customHeight="1">
      <c r="A63" s="404" t="s">
        <v>590</v>
      </c>
      <c r="C63" s="205" t="s">
        <v>1249</v>
      </c>
      <c r="Y63" s="2345" t="s">
        <v>985</v>
      </c>
      <c r="Z63" s="2345"/>
      <c r="AA63" s="2345"/>
      <c r="AB63" s="2345"/>
      <c r="AC63" s="2345"/>
      <c r="AD63" s="2345" t="s">
        <v>369</v>
      </c>
      <c r="AE63" s="2345"/>
      <c r="AF63" s="2345"/>
      <c r="AG63" s="2345"/>
      <c r="AH63" s="2345"/>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39157045</v>
      </c>
      <c r="Z64" s="2347"/>
      <c r="AA64" s="2347"/>
      <c r="AB64" s="2347"/>
      <c r="AC64" s="2348"/>
      <c r="AD64" s="2346">
        <f>IF(AND(OR(Application!D211="At-Risk",Application!D211="At-Risk and Special Needs"),Application!M358="yes"),AD28+AI28,0)</f>
        <v>0</v>
      </c>
      <c r="AE64" s="2347"/>
      <c r="AF64" s="2347"/>
      <c r="AG64" s="2347"/>
      <c r="AH64" s="2348"/>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0.75</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2.95" customHeight="1">
      <c r="C68" s="404"/>
      <c r="D68" s="205" t="s">
        <v>2227</v>
      </c>
      <c r="Y68" s="2336">
        <f>ROUND(Y64*Y67,0)</f>
        <v>29367784</v>
      </c>
      <c r="Z68" s="2337"/>
      <c r="AA68" s="2337"/>
      <c r="AB68" s="2337"/>
      <c r="AC68" s="2337"/>
      <c r="AD68" s="2336">
        <f>ROUND(AD64*AD67,0)</f>
        <v>0</v>
      </c>
      <c r="AE68" s="2337"/>
      <c r="AF68" s="2337"/>
      <c r="AG68" s="2337"/>
      <c r="AH68" s="2337"/>
    </row>
    <row r="69" spans="1:36" ht="12.95" customHeight="1">
      <c r="C69" s="404"/>
      <c r="D69" s="205" t="s">
        <v>2228</v>
      </c>
      <c r="Y69" s="2336">
        <f>IF(OR(Application!Z205="State Farmworker Credit",Application!Z205="$500M (Farmworker Housing)"),Y68+AD68,MIN(Y68+AD68,200000*(Application!G753+Application!O777)))</f>
        <v>29367784</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8">
        <v>0.88</v>
      </c>
      <c r="AC72" s="2339"/>
      <c r="AD72" s="2339"/>
      <c r="AE72" s="2339"/>
      <c r="AF72" s="2340"/>
    </row>
    <row r="73" spans="1:36" ht="12.95" customHeight="1">
      <c r="A73" s="404"/>
      <c r="C73" s="404"/>
      <c r="D73" s="404"/>
      <c r="E73" s="2341" t="s">
        <v>1252</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2.9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2.9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9">
        <f>ROUND(IF(ISERROR((AB59/AB72)),0,(AB59/AB72)),0)</f>
        <v>8638450</v>
      </c>
      <c r="AC77" s="2329"/>
      <c r="AD77" s="2329"/>
      <c r="AE77" s="2329"/>
      <c r="AF77" s="2329"/>
    </row>
    <row r="78" spans="1:36" ht="12.95" customHeight="1">
      <c r="C78" s="404"/>
      <c r="D78" s="205" t="s">
        <v>1254</v>
      </c>
      <c r="AB78" s="2330">
        <f>ROUNDUP(MIN(Y69,AB77),0)</f>
        <v>8638450</v>
      </c>
      <c r="AC78" s="2331"/>
      <c r="AD78" s="2331"/>
      <c r="AE78" s="2331"/>
      <c r="AF78" s="2332"/>
    </row>
    <row r="79" spans="1:36" ht="12.95" customHeight="1">
      <c r="C79" s="404"/>
      <c r="D79" s="205" t="s">
        <v>1255</v>
      </c>
      <c r="AB79" s="2333">
        <f>AB78*AB72</f>
        <v>7601836</v>
      </c>
      <c r="AC79" s="2333"/>
      <c r="AD79" s="2333"/>
      <c r="AE79" s="2333"/>
      <c r="AF79" s="2333"/>
    </row>
    <row r="80" spans="1:36" ht="12.95" customHeight="1">
      <c r="C80" s="404"/>
      <c r="D80" s="404"/>
      <c r="AB80" s="425"/>
      <c r="AC80" s="425"/>
      <c r="AD80" s="425"/>
      <c r="AE80" s="425"/>
      <c r="AF80" s="425"/>
    </row>
    <row r="81" spans="1:78" ht="12.95" customHeight="1">
      <c r="D81" s="404" t="s">
        <v>755</v>
      </c>
      <c r="AB81" s="2334">
        <f>AB49-(AB57+AB79)</f>
        <v>0</v>
      </c>
      <c r="AC81" s="2334"/>
      <c r="AD81" s="2334"/>
      <c r="AE81" s="2334"/>
      <c r="AF81" s="2334"/>
    </row>
    <row r="82" spans="1:78" ht="12.95" customHeight="1">
      <c r="F82" s="522"/>
      <c r="J82" s="522" t="str">
        <f>IF(AB81&gt;0,"FUNDING GAP MUST NOT EXCEED ZERO","")</f>
        <v/>
      </c>
    </row>
    <row r="83" spans="1:78" ht="12.95" customHeight="1">
      <c r="D83" s="523"/>
    </row>
    <row r="84" spans="1:78" ht="12.9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2.95" customHeight="1" thickTop="1"/>
    <row r="86" spans="1:78" ht="12.95" customHeight="1">
      <c r="A86" s="404"/>
      <c r="C86" s="205"/>
    </row>
    <row r="87" spans="1:78" ht="12.95" customHeight="1">
      <c r="D87" s="205"/>
      <c r="AB87" s="2385"/>
      <c r="AC87" s="2385"/>
      <c r="AD87" s="2385"/>
      <c r="AE87" s="2385"/>
      <c r="AF87" s="2385"/>
    </row>
    <row r="88" spans="1:78" ht="12.9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05" zoomScale="120" zoomScaleNormal="120" workbookViewId="0">
      <selection activeCell="J127" sqref="J127:M12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7" t="s">
        <v>1301</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1306</v>
      </c>
      <c r="AF7" s="2408"/>
      <c r="AG7" s="2408"/>
      <c r="AH7" s="2408"/>
      <c r="AI7" s="2408"/>
      <c r="AJ7" s="2408"/>
      <c r="AK7" s="2408"/>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592</v>
      </c>
      <c r="C13" s="2398"/>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592</v>
      </c>
      <c r="C16" s="2398"/>
      <c r="D16" s="547"/>
      <c r="E16" s="2409" t="s">
        <v>1308</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592</v>
      </c>
      <c r="C22" s="2398"/>
      <c r="D22" s="547"/>
      <c r="E22" s="2434" t="s">
        <v>1311</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592</v>
      </c>
      <c r="C25" s="2398"/>
      <c r="D25" s="547"/>
      <c r="E25" s="2399" t="s">
        <v>2035</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592</v>
      </c>
      <c r="C28" s="2398"/>
      <c r="D28" s="547"/>
      <c r="E28" s="2422" t="s">
        <v>2251</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8" t="s">
        <v>592</v>
      </c>
      <c r="C33" s="2398"/>
      <c r="D33" s="547"/>
      <c r="E33" s="2434" t="s">
        <v>2253</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592</v>
      </c>
      <c r="C36" s="2398"/>
      <c r="D36" s="547"/>
      <c r="E36" s="2399" t="s">
        <v>2254</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592</v>
      </c>
      <c r="C40" s="2398"/>
      <c r="D40" s="547"/>
      <c r="E40" s="2399" t="s">
        <v>2252</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592</v>
      </c>
      <c r="C45" s="2398"/>
      <c r="D45" s="1142"/>
      <c r="E45" s="2399" t="s">
        <v>2010</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592</v>
      </c>
      <c r="C52" s="2398"/>
      <c r="D52" s="540"/>
      <c r="E52" s="2399" t="s">
        <v>2015</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592</v>
      </c>
      <c r="C56" s="2398"/>
      <c r="D56" s="540"/>
      <c r="E56" s="2419" t="s">
        <v>2016</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592</v>
      </c>
      <c r="C58" s="2398"/>
      <c r="D58" s="540"/>
      <c r="E58" s="2399" t="s">
        <v>2017</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1315</v>
      </c>
      <c r="AF65" s="2408"/>
      <c r="AG65" s="2408"/>
      <c r="AH65" s="2408"/>
      <c r="AI65" s="2408"/>
      <c r="AJ65" s="2408"/>
      <c r="AK65" s="2408"/>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592</v>
      </c>
      <c r="C68" s="2398"/>
      <c r="D68" s="547" t="s">
        <v>1316</v>
      </c>
      <c r="E68" s="2409" t="s">
        <v>2018</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10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1317</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546</v>
      </c>
      <c r="C74" s="2398"/>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592</v>
      </c>
      <c r="F75" s="2398"/>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592</v>
      </c>
      <c r="F76" s="2397"/>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592</v>
      </c>
      <c r="F77" s="2397"/>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546</v>
      </c>
      <c r="F79" s="2398"/>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592</v>
      </c>
      <c r="C81" s="2398"/>
      <c r="D81" s="547" t="s">
        <v>1321</v>
      </c>
      <c r="E81" s="2399" t="s">
        <v>1741</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1306</v>
      </c>
      <c r="AF87" s="2408"/>
      <c r="AG87" s="2408"/>
      <c r="AH87" s="2408"/>
      <c r="AI87" s="2408"/>
      <c r="AJ87" s="2408"/>
      <c r="AK87" s="2408"/>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592</v>
      </c>
      <c r="C90" s="2398"/>
      <c r="D90" s="547" t="s">
        <v>1316</v>
      </c>
      <c r="E90" s="2409" t="s">
        <v>1326</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0.55789473684210522</v>
      </c>
      <c r="F93" s="2393"/>
      <c r="G93" s="2393"/>
      <c r="H93" s="2393"/>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3.9999999999999925E-2</v>
      </c>
      <c r="F94" s="2395"/>
      <c r="G94" s="2395"/>
      <c r="H94" s="2395"/>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7.9999999999999849</v>
      </c>
      <c r="F95" s="2426"/>
      <c r="G95" s="2426"/>
      <c r="H95" s="2426"/>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546</v>
      </c>
      <c r="C98" s="2398"/>
      <c r="D98" s="547" t="s">
        <v>1318</v>
      </c>
      <c r="E98" s="2409" t="s">
        <v>1726</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0.55789473684210522</v>
      </c>
      <c r="F103" s="2393"/>
      <c r="G103" s="2393"/>
      <c r="H103" s="2393"/>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0.10526315789473684</v>
      </c>
      <c r="F104" s="2393"/>
      <c r="G104" s="2393"/>
      <c r="H104" s="2393"/>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0.10526315789473684</v>
      </c>
      <c r="F105" s="2393"/>
      <c r="G105" s="2393"/>
      <c r="H105" s="2393"/>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1">
        <f ca="1">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1315</v>
      </c>
      <c r="AF112" s="2408"/>
      <c r="AG112" s="2408"/>
      <c r="AH112" s="2408"/>
      <c r="AI112" s="2408"/>
      <c r="AJ112" s="2408"/>
      <c r="AK112" s="2408"/>
      <c r="AL112" s="540"/>
      <c r="AM112" s="540"/>
      <c r="AN112" s="535"/>
      <c r="AO112" s="536" t="str">
        <f>Application!B718</f>
        <v>1 Bedroom</v>
      </c>
      <c r="AQ112" s="536">
        <f>Application!O718</f>
        <v>559</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1032</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1268</v>
      </c>
    </row>
    <row r="115" spans="1:52" s="536" customFormat="1" ht="12.75" customHeight="1">
      <c r="A115" s="540"/>
      <c r="B115" s="2398" t="s">
        <v>546</v>
      </c>
      <c r="C115" s="2398"/>
      <c r="D115" s="547" t="s">
        <v>1316</v>
      </c>
      <c r="E115" s="2409" t="s">
        <v>1859</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2 Bedrooms</v>
      </c>
      <c r="AQ115" s="536">
        <f>Application!O721</f>
        <v>670</v>
      </c>
      <c r="AU115" s="536" t="s">
        <v>1841</v>
      </c>
      <c r="AV115" s="595" t="s">
        <v>1842</v>
      </c>
      <c r="AW115" s="536" t="s">
        <v>1843</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2 Bedrooms</v>
      </c>
      <c r="AQ116" s="536">
        <f>Application!O722</f>
        <v>1237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2 Bedrooms</v>
      </c>
      <c r="AQ117" s="536">
        <f>Application!O723</f>
        <v>1520</v>
      </c>
      <c r="AU117" s="856" t="str">
        <f>J124</f>
        <v>1-bedroom</v>
      </c>
      <c r="AV117" s="536">
        <f t="array" ref="AV117">SUM(IF(Application!B718:F752="1 Bedroom",Application!G718:J752))</f>
        <v>28</v>
      </c>
      <c r="AW117" s="1011">
        <f>AV117/AV122</f>
        <v>0.29473684210526313</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3 Bedrooms</v>
      </c>
      <c r="AQ118" s="536">
        <f>Application!O724</f>
        <v>773</v>
      </c>
      <c r="AU118" s="856" t="str">
        <f>O124</f>
        <v>2-bedroom</v>
      </c>
      <c r="AV118" s="536">
        <f t="array" ref="AV118">SUM(IF(Application!B718:F752="2 Bedrooms",Application!G718:J752))</f>
        <v>43</v>
      </c>
      <c r="AW118" s="1011">
        <f>AV118/AV122</f>
        <v>0.45263157894736844</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3 Bedrooms</v>
      </c>
      <c r="AQ119" s="536">
        <f>Application!O725</f>
        <v>1427</v>
      </c>
      <c r="AU119" s="856" t="str">
        <f>T124</f>
        <v>3-bedroom</v>
      </c>
      <c r="AV119" s="536">
        <f t="array" ref="AV119">SUM(IF(Application!B718:F752="3 Bedrooms",Application!G718:J752))</f>
        <v>24</v>
      </c>
      <c r="AW119" s="1011">
        <f>AV119/AV122</f>
        <v>0.25263157894736843</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3 Bedrooms</v>
      </c>
      <c r="AQ120" s="536">
        <f>Application!O726</f>
        <v>1755</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f>Application!B728</f>
        <v>0</v>
      </c>
      <c r="AQ122" s="536">
        <f>Application!O728</f>
        <v>0</v>
      </c>
      <c r="AV122" s="536">
        <f>SUM(AV116:AV121)</f>
        <v>95</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2" t="s">
        <v>1589</v>
      </c>
      <c r="F124" s="2393"/>
      <c r="G124" s="2393"/>
      <c r="H124" s="2393"/>
      <c r="I124" s="577"/>
      <c r="J124" s="2393" t="s">
        <v>1632</v>
      </c>
      <c r="K124" s="2393"/>
      <c r="L124" s="2393"/>
      <c r="M124" s="2393"/>
      <c r="N124" s="577"/>
      <c r="O124" s="2393" t="s">
        <v>1633</v>
      </c>
      <c r="P124" s="2393"/>
      <c r="Q124" s="2393"/>
      <c r="R124" s="2393"/>
      <c r="S124" s="577"/>
      <c r="T124" s="2393" t="s">
        <v>1335</v>
      </c>
      <c r="U124" s="2393"/>
      <c r="V124" s="2393"/>
      <c r="W124" s="2393"/>
      <c r="X124" s="577"/>
      <c r="Y124" s="2393" t="s">
        <v>1634</v>
      </c>
      <c r="Z124" s="2393"/>
      <c r="AA124" s="2393"/>
      <c r="AB124" s="2393"/>
      <c r="AC124" s="577"/>
      <c r="AD124" s="2393" t="s">
        <v>1635</v>
      </c>
      <c r="AE124" s="2393"/>
      <c r="AF124" s="2393"/>
      <c r="AG124" s="239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c r="F127" s="2453"/>
      <c r="G127" s="2453"/>
      <c r="H127" s="2453"/>
      <c r="I127" s="864"/>
      <c r="J127" s="2453">
        <v>1949</v>
      </c>
      <c r="K127" s="2453"/>
      <c r="L127" s="2453"/>
      <c r="M127" s="2453"/>
      <c r="N127" s="864"/>
      <c r="O127" s="2453">
        <v>2133</v>
      </c>
      <c r="P127" s="2453"/>
      <c r="Q127" s="2453"/>
      <c r="R127" s="2453"/>
      <c r="S127" s="864"/>
      <c r="T127" s="2453">
        <v>2471</v>
      </c>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0</v>
      </c>
      <c r="F130" s="2446"/>
      <c r="G130" s="2446"/>
      <c r="H130" s="2446"/>
      <c r="I130" s="864"/>
      <c r="J130" s="2446">
        <f>Application!EC670</f>
        <v>1200.5</v>
      </c>
      <c r="K130" s="2446"/>
      <c r="L130" s="2446"/>
      <c r="M130" s="2446"/>
      <c r="N130" s="864"/>
      <c r="O130" s="2446">
        <f>Application!EH670</f>
        <v>1388.2558139534885</v>
      </c>
      <c r="P130" s="2446"/>
      <c r="Q130" s="2446"/>
      <c r="R130" s="2446"/>
      <c r="S130" s="868"/>
      <c r="T130" s="2446">
        <f>Application!EM670</f>
        <v>1591.25</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t="e">
        <f>(E127-E130)/E127</f>
        <v>#DIV/0!</v>
      </c>
      <c r="F133" s="2395"/>
      <c r="G133" s="2395"/>
      <c r="H133" s="2645"/>
      <c r="I133" s="577"/>
      <c r="J133" s="2644">
        <f>(J127-J130)/J127</f>
        <v>0.38404309902514111</v>
      </c>
      <c r="K133" s="2395"/>
      <c r="L133" s="2395"/>
      <c r="M133" s="2645"/>
      <c r="N133" s="577"/>
      <c r="O133" s="2644">
        <f>(O127-O130)/O127</f>
        <v>0.34915339242686894</v>
      </c>
      <c r="P133" s="2395"/>
      <c r="Q133" s="2395"/>
      <c r="R133" s="2645"/>
      <c r="S133" s="577"/>
      <c r="T133" s="2644">
        <f>(T127-T130)/T127</f>
        <v>0.35602994738972077</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t="e">
        <f>IF(((E133-0.1)*AW116)&gt;0,((E133-0.1)*AW116),0)</f>
        <v>#DIV/0!</v>
      </c>
      <c r="F136" s="2448"/>
      <c r="G136" s="2448"/>
      <c r="H136" s="2449"/>
      <c r="I136" s="577"/>
      <c r="J136" s="2447">
        <f>IF(((J133-0.1)*AW117)&gt;0,((J133-0.1)*AW117),0)</f>
        <v>8.371796602846264E-2</v>
      </c>
      <c r="K136" s="2448"/>
      <c r="L136" s="2448"/>
      <c r="M136" s="2449"/>
      <c r="N136" s="577"/>
      <c r="O136" s="2447">
        <f>IF(((O133-0.1)*AW118)&gt;0,((O133-0.1)*AW118),0)</f>
        <v>0.11277469341426699</v>
      </c>
      <c r="P136" s="2448"/>
      <c r="Q136" s="2448"/>
      <c r="R136" s="2449"/>
      <c r="S136" s="577"/>
      <c r="T136" s="2447">
        <f>IF(((T133-0.1)*AW119)&gt;0,((T133-0.1)*AW119),0)</f>
        <v>6.4681249866876817E-2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0.26</v>
      </c>
      <c r="F138" s="2395"/>
      <c r="G138" s="2395"/>
      <c r="H138" s="2645"/>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8" t="s">
        <v>1315</v>
      </c>
      <c r="AF146" s="2408"/>
      <c r="AG146" s="2408"/>
      <c r="AH146" s="2408"/>
      <c r="AI146" s="2408"/>
      <c r="AJ146" s="2408"/>
      <c r="AK146" s="2408"/>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1339</v>
      </c>
      <c r="AG148" s="2443"/>
      <c r="AH148" s="2443"/>
      <c r="AI148" s="2443"/>
      <c r="AJ148" s="2443"/>
      <c r="AK148" s="2443"/>
      <c r="AL148" s="2443"/>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2629</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0" t="s">
        <v>1342</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1" t="s">
        <v>592</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0" t="s">
        <v>1344</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2478</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2479</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2477</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592</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1353</v>
      </c>
      <c r="AG168" s="2443"/>
      <c r="AH168" s="2443"/>
      <c r="AI168" s="2443"/>
      <c r="AJ168" s="2443"/>
      <c r="AK168" s="2443"/>
      <c r="AL168" s="2443"/>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1351</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592</v>
      </c>
      <c r="AG172" s="2471"/>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0" t="s">
        <v>1344</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2" t="str">
        <f>Application!AA335</f>
        <v>ConAm Management Corporation</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1315</v>
      </c>
      <c r="AF186" s="2408"/>
      <c r="AG186" s="2408"/>
      <c r="AH186" s="2408"/>
      <c r="AI186" s="2408"/>
      <c r="AJ186" s="2408"/>
      <c r="AK186" s="2408"/>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8" t="s">
        <v>1042</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1364</v>
      </c>
      <c r="AG188" s="2443"/>
      <c r="AH188" s="2443"/>
      <c r="AI188" s="2443"/>
      <c r="AJ188" s="2443"/>
      <c r="AK188" s="2443"/>
      <c r="AL188" s="2443"/>
      <c r="AN188" s="597"/>
      <c r="AP188" s="550" t="s">
        <v>1044</v>
      </c>
      <c r="AQ188" s="550">
        <v>10</v>
      </c>
    </row>
    <row r="189" spans="1:73" s="550" customFormat="1" ht="12.75" customHeight="1">
      <c r="A189" s="536"/>
      <c r="B189" s="2469" t="s">
        <v>1727</v>
      </c>
      <c r="C189" s="2469"/>
      <c r="D189" s="2469"/>
      <c r="E189" s="2469"/>
      <c r="F189" s="2469"/>
      <c r="G189" s="2469"/>
      <c r="H189" s="2469"/>
      <c r="I189" s="2469"/>
      <c r="J189" s="2469"/>
      <c r="K189" s="2469"/>
      <c r="L189" s="2469"/>
      <c r="M189" s="2469"/>
      <c r="N189" s="2469"/>
      <c r="O189" s="2469"/>
      <c r="P189" s="2469"/>
      <c r="Q189" s="2469"/>
      <c r="R189" s="2469"/>
      <c r="S189" s="2469"/>
      <c r="T189" s="2444" t="s">
        <v>592</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8">
        <f>IF(AK84&gt;0,VLOOKUP($B$188,AP185:AQ191,2,FALSE),0)</f>
        <v>10</v>
      </c>
      <c r="AL191" s="2479"/>
      <c r="AM191" s="2480"/>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1373</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2703</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v>3360000</v>
      </c>
      <c r="AE199" s="2456"/>
      <c r="AF199" s="2456"/>
      <c r="AG199" s="2456"/>
      <c r="AH199" s="2456"/>
      <c r="AI199" s="2456"/>
      <c r="AJ199" s="2456"/>
      <c r="AK199" s="610"/>
    </row>
    <row r="200" spans="1:40">
      <c r="A200" s="605"/>
      <c r="B200" s="2455" t="s">
        <v>2734</v>
      </c>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v>1700000</v>
      </c>
      <c r="AE200" s="2456"/>
      <c r="AF200" s="2456"/>
      <c r="AG200" s="2456"/>
      <c r="AH200" s="2456"/>
      <c r="AI200" s="2456"/>
      <c r="AJ200" s="2456"/>
      <c r="AK200" s="610"/>
    </row>
    <row r="201" spans="1:40">
      <c r="A201" s="605"/>
      <c r="B201" s="2455"/>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1628</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0</v>
      </c>
      <c r="AE209" s="2485"/>
      <c r="AF209" s="2485"/>
      <c r="AG209" s="2485"/>
      <c r="AH209" s="2485"/>
      <c r="AI209" s="2485"/>
      <c r="AJ209" s="2485"/>
      <c r="AK209" s="610"/>
    </row>
    <row r="210" spans="1:37">
      <c r="A210" s="605"/>
      <c r="B210" s="2612" t="s">
        <v>1591</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0">
        <f>SUM(AD199:AJ209)-AD210</f>
        <v>5060000</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1608</v>
      </c>
      <c r="J222" s="2459"/>
      <c r="K222" s="2459"/>
      <c r="L222" s="536"/>
      <c r="M222" s="536"/>
      <c r="N222" s="536"/>
      <c r="O222" s="536"/>
      <c r="P222" s="536"/>
      <c r="Q222" s="536"/>
      <c r="R222" s="536"/>
      <c r="S222" s="536"/>
      <c r="T222" s="2647" t="s">
        <v>1602</v>
      </c>
      <c r="U222" s="2647"/>
      <c r="V222" s="2647"/>
      <c r="W222" s="2647"/>
      <c r="X222" s="2647"/>
      <c r="Y222" s="2647"/>
      <c r="Z222" s="849"/>
      <c r="AA222" s="489"/>
      <c r="AB222" s="2454" t="s">
        <v>1603</v>
      </c>
      <c r="AC222" s="2454"/>
      <c r="AD222" s="2454"/>
      <c r="AE222" s="2454"/>
      <c r="AF222" s="2454"/>
      <c r="AG222" s="2454"/>
      <c r="AH222" s="827"/>
      <c r="AI222" s="827"/>
      <c r="AJ222" s="827"/>
      <c r="AK222" s="610"/>
    </row>
    <row r="223" spans="1:37">
      <c r="A223" s="605"/>
      <c r="B223" s="2457" t="s">
        <v>1588</v>
      </c>
      <c r="C223" s="2457"/>
      <c r="D223" s="2457"/>
      <c r="E223" s="2457"/>
      <c r="F223" s="2457"/>
      <c r="G223" s="2457"/>
      <c r="I223" s="2458" t="s">
        <v>1609</v>
      </c>
      <c r="J223" s="2458"/>
      <c r="K223" s="2458"/>
      <c r="L223" s="1008"/>
      <c r="N223" s="2464" t="s">
        <v>1604</v>
      </c>
      <c r="O223" s="2464"/>
      <c r="P223" s="2464"/>
      <c r="Q223" s="2464"/>
      <c r="R223" s="2464"/>
      <c r="T223" s="2464" t="s">
        <v>1605</v>
      </c>
      <c r="U223" s="2464"/>
      <c r="V223" s="2464"/>
      <c r="W223" s="2464"/>
      <c r="X223" s="2464"/>
      <c r="Y223" s="2464"/>
      <c r="Z223" s="850"/>
      <c r="AA223" s="489"/>
      <c r="AB223" s="2601" t="s">
        <v>1606</v>
      </c>
      <c r="AC223" s="2601"/>
      <c r="AD223" s="2601"/>
      <c r="AE223" s="2601"/>
      <c r="AF223" s="2601"/>
      <c r="AG223" s="2601"/>
      <c r="AH223" s="827"/>
      <c r="AI223" s="827"/>
      <c r="AJ223" s="827"/>
      <c r="AK223" s="610"/>
    </row>
    <row r="224" spans="1:37">
      <c r="A224" s="605"/>
      <c r="B224" s="2461" t="s">
        <v>1185</v>
      </c>
      <c r="C224" s="2461"/>
      <c r="D224" s="2461"/>
      <c r="E224" s="2461"/>
      <c r="F224" s="2461"/>
      <c r="G224" s="2461"/>
      <c r="H224" s="852"/>
      <c r="I224" s="2460"/>
      <c r="J224" s="2460"/>
      <c r="K224" s="2460"/>
      <c r="L224" s="1008"/>
      <c r="N224" s="2465"/>
      <c r="O224" s="2465"/>
      <c r="P224" s="2465"/>
      <c r="Q224" s="2465"/>
      <c r="R224" s="2465"/>
      <c r="T224" s="2613"/>
      <c r="U224" s="2613"/>
      <c r="V224" s="2613"/>
      <c r="W224" s="2613"/>
      <c r="X224" s="2613"/>
      <c r="Y224" s="2613"/>
      <c r="Z224" s="851"/>
      <c r="AA224" s="851"/>
      <c r="AB224" s="2462">
        <f t="shared" ref="AB224:AB233" si="0">MAX(($T224-$N224)*$I224*12,0)</f>
        <v>0</v>
      </c>
      <c r="AC224" s="2462"/>
      <c r="AD224" s="2462"/>
      <c r="AE224" s="2462"/>
      <c r="AF224" s="2462"/>
      <c r="AG224" s="2462"/>
      <c r="AH224" s="827"/>
      <c r="AI224" s="827"/>
      <c r="AJ224" s="827"/>
      <c r="AK224" s="610"/>
    </row>
    <row r="225" spans="1:37">
      <c r="A225" s="605"/>
      <c r="B225" s="2461" t="s">
        <v>1185</v>
      </c>
      <c r="C225" s="2461"/>
      <c r="D225" s="2461"/>
      <c r="E225" s="2461"/>
      <c r="F225" s="2461"/>
      <c r="G225" s="2461"/>
      <c r="I225" s="2460"/>
      <c r="J225" s="2460"/>
      <c r="K225" s="2460"/>
      <c r="L225" s="1008"/>
      <c r="N225" s="2465"/>
      <c r="O225" s="2465"/>
      <c r="P225" s="2465"/>
      <c r="Q225" s="2465"/>
      <c r="R225" s="2465"/>
      <c r="T225" s="2613"/>
      <c r="U225" s="2613"/>
      <c r="V225" s="2613"/>
      <c r="W225" s="2613"/>
      <c r="X225" s="2613"/>
      <c r="Y225" s="2613"/>
      <c r="Z225" s="851"/>
      <c r="AA225" s="851"/>
      <c r="AB225" s="2462">
        <f t="shared" si="0"/>
        <v>0</v>
      </c>
      <c r="AC225" s="2462"/>
      <c r="AD225" s="2462"/>
      <c r="AE225" s="2462"/>
      <c r="AF225" s="2462"/>
      <c r="AG225" s="2462"/>
      <c r="AH225" s="827"/>
      <c r="AI225" s="827"/>
      <c r="AJ225" s="827"/>
      <c r="AK225" s="610"/>
    </row>
    <row r="226" spans="1:37">
      <c r="A226" s="605"/>
      <c r="B226" s="2461" t="s">
        <v>1185</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1185</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1185</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1185</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1185</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1185</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1185</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1185</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2">
        <f>SUM(AB224:AB233)</f>
        <v>0</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0</v>
      </c>
      <c r="AC250" s="2462"/>
      <c r="AD250" s="2462"/>
      <c r="AE250" s="2462"/>
      <c r="AF250" s="2462"/>
      <c r="AG250" s="2462"/>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0</v>
      </c>
      <c r="AC252" s="2495"/>
      <c r="AD252" s="2495"/>
      <c r="AE252" s="2495"/>
      <c r="AF252" s="2495"/>
      <c r="AG252" s="2495"/>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0</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0</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5060000</v>
      </c>
      <c r="AH268" s="2481"/>
      <c r="AI268" s="2481"/>
      <c r="AJ268" s="2481"/>
      <c r="AK268" s="2481"/>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44881405</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0.11</v>
      </c>
      <c r="AH270" s="2482"/>
      <c r="AI270" s="2482"/>
      <c r="AJ270" s="2482"/>
      <c r="AK270" s="2482"/>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3">
        <f>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5" t="s">
        <v>546</v>
      </c>
      <c r="D278" s="2475"/>
      <c r="E278" s="547"/>
      <c r="F278" s="2632" t="s">
        <v>2026</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1364</v>
      </c>
      <c r="AH278" s="2476"/>
      <c r="AI278" s="2476"/>
      <c r="AJ278" s="2476"/>
      <c r="AK278" s="550"/>
      <c r="AL278" s="550"/>
      <c r="AM278" s="550"/>
      <c r="AO278" s="550"/>
    </row>
    <row r="279" spans="1:52" ht="13.7"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71" t="s">
        <v>592</v>
      </c>
      <c r="D292" s="2475"/>
      <c r="E292" s="547"/>
      <c r="F292" s="2503" t="s">
        <v>1384</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2019</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7" t="s">
        <v>2027</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1385</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1386</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5" t="s">
        <v>546</v>
      </c>
      <c r="D302" s="2475"/>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5" t="s">
        <v>2021</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5" t="s">
        <v>592</v>
      </c>
      <c r="D310" s="2475"/>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7" t="s">
        <v>2028</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1185</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1185</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3" t="s">
        <v>1185</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3" t="s">
        <v>1185</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5" t="s">
        <v>592</v>
      </c>
      <c r="D333" s="2475"/>
      <c r="E333" s="547"/>
      <c r="F333" s="2399" t="s">
        <v>2029</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8">
        <f>IF(NOT(OR(Application!M355="Yes",Application!M356="Yes")),0,AP295)</f>
        <v>9</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8" t="s">
        <v>1315</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1455</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2094</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2209</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1456</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8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0</v>
      </c>
      <c r="AS357" s="539" t="s">
        <v>1457</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0</v>
      </c>
      <c r="AS359" s="539" t="s">
        <v>1458</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5</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582</v>
      </c>
      <c r="AP361" s="696">
        <f>IF(C407="Yes",5,0)</f>
        <v>0</v>
      </c>
      <c r="AS361" s="539" t="s">
        <v>1880</v>
      </c>
    </row>
    <row r="362" spans="1:46" s="550" customFormat="1" ht="12.75" customHeight="1">
      <c r="A362" s="603"/>
      <c r="B362" s="611"/>
      <c r="C362" s="2539" t="s">
        <v>2234</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0</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764</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585</v>
      </c>
      <c r="AP364" s="696">
        <f>IF(C421="Yes",5,0)</f>
        <v>5</v>
      </c>
    </row>
    <row r="365" spans="1:46" s="550" customFormat="1" ht="11.8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227</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7" t="s">
        <v>1459</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457</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462</v>
      </c>
      <c r="AP370" s="696">
        <f>IF(C449="Yes",5,0)</f>
        <v>0</v>
      </c>
    </row>
    <row r="371" spans="1:81" s="550" customFormat="1" ht="68.099999999999994"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5">
        <f>Application!DU802-U374</f>
        <v>186</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0">
        <f>IF(AP375&gt;0,AP375,0)</f>
        <v>0</v>
      </c>
      <c r="AR375" s="2540"/>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1" t="s">
        <v>1461</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592</v>
      </c>
      <c r="D381" s="2475"/>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1463</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1" t="s">
        <v>1464</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592</v>
      </c>
      <c r="D389" s="2475"/>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1463</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1" t="s">
        <v>1466</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592</v>
      </c>
      <c r="D397" s="2475"/>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1468</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546</v>
      </c>
      <c r="D399" s="2475"/>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1463</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1" t="s">
        <v>1472</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592</v>
      </c>
      <c r="D407" s="2475"/>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1463</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592</v>
      </c>
      <c r="D409" s="2475"/>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1475</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592</v>
      </c>
      <c r="D412" s="2475"/>
      <c r="E412" s="715" t="s">
        <v>1476</v>
      </c>
      <c r="F412" s="2521" t="s">
        <v>1477</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1463</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1" t="s">
        <v>1479</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546</v>
      </c>
      <c r="D421" s="2475"/>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1463</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592</v>
      </c>
      <c r="D423" s="2475"/>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1475</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1" t="s">
        <v>1483</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592</v>
      </c>
      <c r="D430" s="2475"/>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1463</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1" t="s">
        <v>1486</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592</v>
      </c>
      <c r="D442" s="2475"/>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1463</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1" t="s">
        <v>1489</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592</v>
      </c>
      <c r="D449" s="2475"/>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1463</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592</v>
      </c>
      <c r="D453" s="2525"/>
      <c r="E453" s="715" t="s">
        <v>1498</v>
      </c>
      <c r="F453" s="2521" t="s">
        <v>1499</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1463</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592</v>
      </c>
      <c r="D457" s="2475"/>
      <c r="E457" s="715" t="s">
        <v>1504</v>
      </c>
      <c r="F457" s="2521" t="s">
        <v>1505</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1463</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1" t="s">
        <v>1508</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592</v>
      </c>
      <c r="D466" s="2475"/>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1463</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9" t="s">
        <v>1512</v>
      </c>
      <c r="AF472" s="2519"/>
      <c r="AG472" s="2519"/>
      <c r="AH472" s="2519"/>
      <c r="AI472" s="2519"/>
      <c r="AJ472" s="2519"/>
      <c r="AK472" s="2519"/>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4" t="s">
        <v>592</v>
      </c>
      <c r="D478" s="2545"/>
      <c r="E478" s="761" t="s">
        <v>508</v>
      </c>
      <c r="F478" s="2546" t="s">
        <v>1518</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0" t="s">
        <v>592</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1" t="s">
        <v>546</v>
      </c>
      <c r="D482" s="2622"/>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9" t="s">
        <v>592</v>
      </c>
      <c r="W485" s="2619"/>
      <c r="X485" s="2619"/>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9" t="s">
        <v>592</v>
      </c>
      <c r="W487" s="2619"/>
      <c r="X487" s="2619"/>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9" t="s">
        <v>592</v>
      </c>
      <c r="W492" s="2619"/>
      <c r="X492" s="2619"/>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9"/>
      <c r="E495" s="2609"/>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9" t="s">
        <v>592</v>
      </c>
      <c r="W496" s="2619"/>
      <c r="X496" s="2619"/>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9" t="s">
        <v>592</v>
      </c>
      <c r="W498" s="2619"/>
      <c r="X498" s="2619"/>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592</v>
      </c>
      <c r="D501" s="2545"/>
      <c r="E501" s="761" t="s">
        <v>508</v>
      </c>
      <c r="F501" s="2546" t="s">
        <v>1518</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592</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592</v>
      </c>
      <c r="D505" s="2545"/>
      <c r="E505" s="761" t="s">
        <v>758</v>
      </c>
      <c r="F505" s="2616" t="s">
        <v>1540</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592</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592</v>
      </c>
      <c r="D510" s="2545"/>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592</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592</v>
      </c>
      <c r="D515" s="2549"/>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592</v>
      </c>
      <c r="D519" s="2549"/>
      <c r="F519" s="795" t="s">
        <v>1548</v>
      </c>
      <c r="G519" s="2522" t="s">
        <v>1549</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592</v>
      </c>
      <c r="D523" s="2551"/>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592</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1561</v>
      </c>
      <c r="AF538" s="2408"/>
      <c r="AG538" s="2408"/>
      <c r="AH538" s="2408"/>
      <c r="AI538" s="2408"/>
      <c r="AJ538" s="2408"/>
      <c r="AK538" s="2408"/>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546</v>
      </c>
      <c r="D541" s="2475"/>
      <c r="E541" s="551"/>
      <c r="F541" s="2602" t="s">
        <v>1562</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592</v>
      </c>
      <c r="D544" s="2475"/>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1564</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1565</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45205400</v>
      </c>
      <c r="AQ550" s="2624"/>
      <c r="AR550" s="2624"/>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39157045</v>
      </c>
      <c r="AG551" s="2481"/>
      <c r="AH551" s="2481"/>
      <c r="AI551" s="2481"/>
      <c r="AJ551" s="2481"/>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61162830</v>
      </c>
      <c r="AG552" s="2629"/>
      <c r="AH552" s="2629"/>
      <c r="AI552" s="2629"/>
      <c r="AJ552" s="2629"/>
      <c r="AK552" s="595"/>
      <c r="AL552" s="595"/>
      <c r="AM552" s="595"/>
      <c r="AN552" s="597"/>
      <c r="AP552" s="2624">
        <f>Application!AJ1045</f>
        <v>4520540</v>
      </c>
      <c r="AQ552" s="2624"/>
      <c r="AR552" s="2624"/>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0.35</v>
      </c>
      <c r="AG553" s="2630"/>
      <c r="AH553" s="2630"/>
      <c r="AI553" s="2630"/>
      <c r="AJ553" s="2630"/>
      <c r="AK553" s="595"/>
      <c r="AL553" s="595"/>
      <c r="AM553" s="595"/>
      <c r="AN553" s="597"/>
      <c r="AP553" s="2627">
        <f>Application!AJ1049</f>
        <v>9041080</v>
      </c>
      <c r="AQ553" s="2627"/>
      <c r="AR553" s="2627"/>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0.3</v>
      </c>
      <c r="AQ554" s="2623"/>
      <c r="AR554" s="2623"/>
      <c r="AS554" s="550" t="s">
        <v>2173</v>
      </c>
    </row>
    <row r="555" spans="1:49" s="550" customFormat="1" ht="12.75" customHeight="1">
      <c r="A555" s="624"/>
      <c r="B555" s="2560" t="s">
        <v>2033</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47601210</v>
      </c>
      <c r="AQ556" s="2533"/>
      <c r="AR556" s="2533"/>
      <c r="AS556" s="550" t="s">
        <v>2175</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61162830</v>
      </c>
      <c r="AQ557" s="2624"/>
      <c r="AR557" s="2624"/>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9">
        <f>IFERROR(IF(AND(C541="N/A",C544="N/A"),0,IF(AF553=0,0,IF((AF553*100)&gt;12,12,(AF553*100)))),0)</f>
        <v>12</v>
      </c>
      <c r="AL559" s="2569"/>
      <c r="AM559" s="2570"/>
      <c r="AN559" s="597"/>
      <c r="AP559" s="2641">
        <f>AP556+(AP550*AP554)</f>
        <v>61162830</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1315</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2024</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1339</v>
      </c>
      <c r="AG578" s="2443"/>
      <c r="AH578" s="2443"/>
      <c r="AI578" s="2443"/>
      <c r="AJ578" s="2443"/>
      <c r="AK578" s="2443"/>
      <c r="AL578" s="2443"/>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1397</v>
      </c>
      <c r="AG585" s="2443"/>
      <c r="AH585" s="2443"/>
      <c r="AI585" s="2443"/>
      <c r="AJ585" s="2443"/>
      <c r="AK585" s="2443"/>
      <c r="AL585" s="2443"/>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1379</v>
      </c>
      <c r="AG591" s="2443"/>
      <c r="AH591" s="2443"/>
      <c r="AI591" s="2443"/>
      <c r="AJ591" s="2443"/>
      <c r="AK591" s="2443"/>
      <c r="AL591" s="2443"/>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1400</v>
      </c>
      <c r="AG597" s="2443"/>
      <c r="AH597" s="2443"/>
      <c r="AI597" s="2443"/>
      <c r="AJ597" s="2443"/>
      <c r="AK597" s="2443"/>
      <c r="AL597" s="2443"/>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9" t="s">
        <v>1185</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1353</v>
      </c>
      <c r="AG603" s="2443"/>
      <c r="AH603" s="2443"/>
      <c r="AI603" s="2443"/>
      <c r="AJ603" s="2443"/>
      <c r="AK603" s="2443"/>
      <c r="AL603" s="2443"/>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7" t="s">
        <v>1398</v>
      </c>
      <c r="I606" s="2527"/>
      <c r="J606" s="936"/>
      <c r="K606" s="936"/>
      <c r="L606" s="936"/>
      <c r="N606" s="22"/>
      <c r="O606" s="22"/>
      <c r="P606" s="22"/>
      <c r="Q606" s="1151" t="s">
        <v>2178</v>
      </c>
      <c r="R606" s="2530" t="s">
        <v>2179</v>
      </c>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8" t="s">
        <v>592</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1" t="s">
        <v>592</v>
      </c>
      <c r="C616" s="2471"/>
      <c r="D616" s="642"/>
      <c r="E616" s="2498" t="s">
        <v>1404</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8">
        <f>VLOOKUP($H$606,$AO$586:$AP$591,2,FALSE)+IF(R606=AO594,0,VLOOKUP($I$614,$AO$613:$AP$615,2,FALSE))</f>
        <v>4</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6" t="s">
        <v>1695</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1353</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1" t="s">
        <v>592</v>
      </c>
      <c r="Y634" s="247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1409</v>
      </c>
      <c r="AG636" s="2443"/>
      <c r="AH636" s="2443"/>
      <c r="AI636" s="2443"/>
      <c r="AJ636" s="2443"/>
      <c r="AK636" s="2443"/>
      <c r="AL636" s="244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7" t="s">
        <v>688</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8">
        <f>VLOOKUP($H$638,$AO$605:$AP$607,2,FALSE)</f>
        <v>3</v>
      </c>
      <c r="AK640" s="2480"/>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8" t="s">
        <v>2099</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1353</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1409</v>
      </c>
      <c r="AG647" s="2443"/>
      <c r="AH647" s="2443"/>
      <c r="AI647" s="2443"/>
      <c r="AJ647" s="2443"/>
      <c r="AK647" s="2443"/>
      <c r="AL647" s="2443"/>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7" t="s">
        <v>592</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8">
        <f>VLOOKUP(H650,AT605:AU607,2,FALSE)</f>
        <v>0</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8" t="s">
        <v>1419</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1379</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8" t="s">
        <v>1420</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1400</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8" t="s">
        <v>1421</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1353</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592</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8" t="s">
        <v>1422</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1400</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8" t="s">
        <v>1423</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1353</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8" t="s">
        <v>1424</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1409</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8" t="s">
        <v>1425</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1426</v>
      </c>
      <c r="AG681" s="2443"/>
      <c r="AH681" s="2443"/>
      <c r="AI681" s="2443"/>
      <c r="AJ681" s="2443"/>
      <c r="AK681" s="2443"/>
      <c r="AL681" s="2443"/>
      <c r="AM681" s="596"/>
      <c r="AN681" s="597"/>
      <c r="AO681" s="611" t="s">
        <v>688</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7" t="s">
        <v>688</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8">
        <f>VLOOKUP($H$685,$AO$633:$AP$640,2,FALSE)</f>
        <v>5</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95</v>
      </c>
    </row>
    <row r="691" spans="1:51" s="550" customFormat="1" ht="12.75" customHeight="1">
      <c r="A691" s="679"/>
      <c r="B691" s="536"/>
      <c r="C691" s="948"/>
      <c r="D691" s="663" t="s">
        <v>688</v>
      </c>
      <c r="E691" s="2534" t="s">
        <v>2191</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1353</v>
      </c>
      <c r="AG691" s="2443"/>
      <c r="AH691" s="2443"/>
      <c r="AI691" s="2443"/>
      <c r="AJ691" s="2443"/>
      <c r="AK691" s="2443"/>
      <c r="AL691" s="2443"/>
      <c r="AN691" s="597"/>
      <c r="AW691" s="22" t="s">
        <v>2186</v>
      </c>
      <c r="AX691" s="550">
        <f>Application!DE753</f>
        <v>24</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8" t="s">
        <v>2135</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1353</v>
      </c>
      <c r="AG694" s="2443"/>
      <c r="AH694" s="2443"/>
      <c r="AI694" s="2443"/>
      <c r="AJ694" s="2443"/>
      <c r="AK694" s="2443"/>
      <c r="AL694" s="2443"/>
      <c r="AN694" s="597"/>
      <c r="AW694" s="22" t="s">
        <v>2189</v>
      </c>
      <c r="AX694" s="550">
        <f>AX691+AX692+AX693</f>
        <v>24</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1</v>
      </c>
      <c r="AP695" s="2533"/>
      <c r="AW695" s="22" t="s">
        <v>2190</v>
      </c>
      <c r="AX695" s="550">
        <f>IFERROR(AX694/AX690,0)</f>
        <v>0.25263157894736843</v>
      </c>
      <c r="AY695" s="550">
        <f>IFERROR(AX694/(AX690-AX689),0)</f>
        <v>0.25263157894736843</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8" t="s">
        <v>2136</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1409</v>
      </c>
      <c r="AG699" s="2443"/>
      <c r="AH699" s="2443"/>
      <c r="AI699" s="2443"/>
      <c r="AJ699" s="2443"/>
      <c r="AK699" s="2443"/>
      <c r="AL699" s="2443"/>
      <c r="AN699" s="597"/>
      <c r="AO699" s="611" t="s">
        <v>510</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8" t="s">
        <v>1694</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7" t="s">
        <v>688</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8">
        <f>VLOOKUP($H$709,$AO$703:$AP$706,2,FALSE)</f>
        <v>3</v>
      </c>
      <c r="AK711" s="2480"/>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5" t="s">
        <v>1696</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1353</v>
      </c>
      <c r="AG715" s="2443"/>
      <c r="AH715" s="2443"/>
      <c r="AI715" s="2443"/>
      <c r="AJ715" s="2443"/>
      <c r="AK715" s="2443"/>
      <c r="AL715" s="2443"/>
      <c r="AM715" s="550"/>
      <c r="AN715" s="684"/>
      <c r="AP715" s="570" t="s">
        <v>1433</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6" t="s">
        <v>1436</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1409</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7" t="s">
        <v>592</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8" t="s">
        <v>1697</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1353</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8" t="s">
        <v>1440</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1409</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7" t="s">
        <v>592</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8" t="s">
        <v>1443</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1353</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8" t="s">
        <v>1444</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1409</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7" t="s">
        <v>688</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8">
        <f>VLOOKUP($H$751,$AO$680:$AP$682,2,FALSE)</f>
        <v>3</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8" t="s">
        <v>1446</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1409</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8" t="s">
        <v>1447</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1426</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7" t="s">
        <v>688</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8" t="s">
        <v>1693</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1409</v>
      </c>
      <c r="AG769" s="2443"/>
      <c r="AH769" s="2443"/>
      <c r="AI769" s="2443"/>
      <c r="AJ769" s="2443"/>
      <c r="AK769" s="2443"/>
      <c r="AL769" s="2443"/>
      <c r="AM769" s="613"/>
      <c r="AN769" s="684"/>
      <c r="AO769" s="550" t="s">
        <v>592</v>
      </c>
      <c r="AP769" s="673">
        <v>0</v>
      </c>
    </row>
    <row r="770" spans="1:81" s="570" customFormat="1" ht="13.7"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7" t="s">
        <v>1698</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1353</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7" t="s">
        <v>592</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8" t="s">
        <v>2034</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1353</v>
      </c>
      <c r="AG785" s="2443"/>
      <c r="AH785" s="2443"/>
      <c r="AI785" s="2443"/>
      <c r="AJ785" s="2443"/>
      <c r="AK785" s="2443"/>
      <c r="AL785" s="2443"/>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7" t="s">
        <v>592</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8">
        <f>VLOOKUP($H$790,$AO$784:$AP$785,2,FALSE)</f>
        <v>0</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1569</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1570</v>
      </c>
      <c r="U802" s="2575"/>
      <c r="V802" s="2575"/>
      <c r="W802" s="2575"/>
      <c r="X802" s="2575"/>
      <c r="Y802" s="2576"/>
      <c r="Z802" s="2574" t="s">
        <v>1571</v>
      </c>
      <c r="AA802" s="2575"/>
      <c r="AB802" s="2575"/>
      <c r="AC802" s="2575"/>
      <c r="AD802" s="2575"/>
      <c r="AE802" s="2576"/>
      <c r="AF802" s="2574" t="s">
        <v>1572</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758</v>
      </c>
      <c r="B804" s="2554" t="s">
        <v>1305</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1542</v>
      </c>
      <c r="B805" s="2554" t="s">
        <v>1314</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1551</v>
      </c>
      <c r="B806" s="2554" t="s">
        <v>1324</v>
      </c>
      <c r="C806" s="2554"/>
      <c r="D806" s="2554"/>
      <c r="E806" s="2554"/>
      <c r="F806" s="2554"/>
      <c r="G806" s="2554"/>
      <c r="H806" s="2554"/>
      <c r="I806" s="2554"/>
      <c r="J806" s="2554"/>
      <c r="K806" s="2554"/>
      <c r="L806" s="2554"/>
      <c r="M806" s="2554"/>
      <c r="N806" s="2554"/>
      <c r="O806" s="2554"/>
      <c r="P806" s="2554"/>
      <c r="Q806" s="2554"/>
      <c r="R806" s="2554"/>
      <c r="S806" s="2555"/>
      <c r="T806" s="2556">
        <f ca="1">AK109</f>
        <v>20</v>
      </c>
      <c r="U806" s="2557"/>
      <c r="V806" s="2557"/>
      <c r="W806" s="2557"/>
      <c r="X806" s="2557"/>
      <c r="Y806" s="2558"/>
      <c r="Z806" s="2559">
        <v>20</v>
      </c>
      <c r="AA806" s="2557"/>
      <c r="AB806" s="2557"/>
      <c r="AC806" s="2557"/>
      <c r="AD806" s="2557"/>
      <c r="AE806" s="2558"/>
      <c r="AF806" s="2540">
        <f ca="1">IF(T806&gt;Z806,Z806,T806)</f>
        <v>20</v>
      </c>
      <c r="AG806" s="2540"/>
      <c r="AH806" s="2540"/>
      <c r="AI806" s="2540"/>
      <c r="AJ806" s="2540"/>
      <c r="AK806" s="2540"/>
      <c r="AL806" s="818"/>
      <c r="AM806" s="596"/>
      <c r="AO806" s="816"/>
      <c r="AP806" s="816"/>
      <c r="AQ806" s="816"/>
    </row>
    <row r="807" spans="1:81">
      <c r="A807" s="819" t="s">
        <v>1573</v>
      </c>
      <c r="B807" s="2554" t="s">
        <v>1334</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1574</v>
      </c>
      <c r="B808" s="2554" t="s">
        <v>1575</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1576</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1577</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1362</v>
      </c>
      <c r="B811" s="2554" t="s">
        <v>1578</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1371</v>
      </c>
      <c r="B812" s="2554" t="s">
        <v>1372</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590</v>
      </c>
      <c r="B813" s="2554" t="s">
        <v>1579</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4" t="s">
        <v>1580</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4" t="s">
        <v>1382</v>
      </c>
      <c r="C815" s="2554"/>
      <c r="D815" s="2554"/>
      <c r="E815" s="2554"/>
      <c r="F815" s="2554"/>
      <c r="G815" s="2554"/>
      <c r="H815" s="2554"/>
      <c r="I815" s="2554"/>
      <c r="J815" s="2554"/>
      <c r="K815" s="2554"/>
      <c r="L815" s="2554"/>
      <c r="M815" s="2554"/>
      <c r="N815" s="2554"/>
      <c r="O815" s="2554"/>
      <c r="P815" s="2554"/>
      <c r="Q815" s="2554"/>
      <c r="R815" s="2554"/>
      <c r="S815" s="2555"/>
      <c r="T815" s="2580">
        <f>AK338</f>
        <v>9</v>
      </c>
      <c r="U815" s="2580"/>
      <c r="V815" s="2580"/>
      <c r="W815" s="2580"/>
      <c r="X815" s="2580"/>
      <c r="Y815" s="2580"/>
      <c r="Z815" s="2586">
        <v>10</v>
      </c>
      <c r="AA815" s="2587"/>
      <c r="AB815" s="2587"/>
      <c r="AC815" s="2587"/>
      <c r="AD815" s="2587"/>
      <c r="AE815" s="2588"/>
      <c r="AF815" s="2586">
        <f>IF(T815&gt;Z815,Z815,T815)</f>
        <v>9</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3">
        <f>AK338</f>
        <v>9</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4" t="s">
        <v>846</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4" t="s">
        <v>1560</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4" t="s">
        <v>1582</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1583</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1584</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1585</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119</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Michael Cates</cp:lastModifiedBy>
  <cp:lastPrinted>2025-05-16T20:50:18Z</cp:lastPrinted>
  <dcterms:created xsi:type="dcterms:W3CDTF">2007-12-27T18:26:28Z</dcterms:created>
  <dcterms:modified xsi:type="dcterms:W3CDTF">2025-05-20T15:09:17Z</dcterms:modified>
</cp:coreProperties>
</file>