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charitieshousing.sharepoint.com/sites/Development/Shared Documents/3001 - 3017 El Camino Real/Financing/TCAC-CDLAC Application/Attachments/3. Final/Section 40 - CTCAC Application/"/>
    </mc:Choice>
  </mc:AlternateContent>
  <xr:revisionPtr revIDLastSave="48" documentId="13_ncr:1_{9406AAD0-2BD4-4ADA-B39C-FB9B77862CAD}" xr6:coauthVersionLast="47" xr6:coauthVersionMax="47" xr10:uidLastSave="{1A1F9C20-A2EA-4DE0-B74D-CA24A1440CF0}"/>
  <bookViews>
    <workbookView xWindow="2880" yWindow="-16200" windowWidth="14610" windowHeight="15585"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Checklist'!$A$1:$CS$1130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iterateCount="5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5" i="3" l="1"/>
  <c r="G644" i="3"/>
  <c r="W846" i="3"/>
  <c r="AF1027" i="3"/>
  <c r="C37" i="4"/>
  <c r="C30" i="4"/>
  <c r="S45" i="4"/>
  <c r="E99" i="4"/>
  <c r="E84" i="4"/>
  <c r="E85" i="4"/>
  <c r="E86" i="4"/>
  <c r="E87" i="4"/>
  <c r="E88" i="4"/>
  <c r="E89" i="4"/>
  <c r="E90" i="4"/>
  <c r="E91" i="4"/>
  <c r="E92" i="4"/>
  <c r="E93" i="4"/>
  <c r="E94" i="4"/>
  <c r="E95" i="4"/>
  <c r="E83" i="4"/>
  <c r="E80" i="4"/>
  <c r="E79" i="4"/>
  <c r="E73" i="4"/>
  <c r="E74" i="4"/>
  <c r="E75" i="4"/>
  <c r="E76" i="4"/>
  <c r="E72" i="4"/>
  <c r="E66" i="4"/>
  <c r="E67" i="4"/>
  <c r="E68" i="4"/>
  <c r="E69" i="4"/>
  <c r="E65" i="4"/>
  <c r="E57" i="4"/>
  <c r="E58" i="4"/>
  <c r="E59" i="4"/>
  <c r="E60" i="4"/>
  <c r="E61" i="4"/>
  <c r="E47" i="4"/>
  <c r="E48" i="4"/>
  <c r="E51" i="4"/>
  <c r="E52" i="4"/>
  <c r="E45" i="4"/>
  <c r="E41" i="4"/>
  <c r="E31" i="4"/>
  <c r="E32" i="4"/>
  <c r="E33" i="4"/>
  <c r="E34" i="4"/>
  <c r="E35" i="4"/>
  <c r="E36" i="4"/>
  <c r="E9" i="4"/>
  <c r="E7" i="4"/>
  <c r="E4" i="4"/>
  <c r="G53" i="4"/>
  <c r="E53" i="4" s="1"/>
  <c r="G50" i="4"/>
  <c r="E50" i="4" s="1"/>
  <c r="G49" i="4"/>
  <c r="E49" i="4" s="1"/>
  <c r="G46" i="4"/>
  <c r="E46" i="4" s="1"/>
  <c r="H43" i="4"/>
  <c r="E43" i="4" s="1"/>
  <c r="H10" i="4"/>
  <c r="E10" i="4" s="1"/>
  <c r="H6" i="4"/>
  <c r="E6" i="4" s="1"/>
  <c r="H5" i="4"/>
  <c r="E5" i="4" s="1"/>
  <c r="I29" i="4"/>
  <c r="I30" i="4" s="1"/>
  <c r="E37" i="4"/>
  <c r="C13" i="4"/>
  <c r="AA919" i="3"/>
  <c r="AA918" i="3"/>
  <c r="AO631" i="3"/>
  <c r="AO630" i="3"/>
  <c r="AO629" i="3"/>
  <c r="AO628" i="3"/>
  <c r="C631" i="3"/>
  <c r="C630" i="3"/>
  <c r="C629" i="3"/>
  <c r="C628" i="3"/>
  <c r="M961" i="3"/>
  <c r="H13" i="4" l="1"/>
  <c r="E13" i="4" s="1"/>
  <c r="AG393" i="3"/>
  <c r="Q393" i="3" s="1"/>
  <c r="E29" i="4"/>
  <c r="Z647" i="3"/>
  <c r="Z655" i="3" s="1"/>
  <c r="Z653" i="3"/>
  <c r="Z654" i="3"/>
  <c r="Z652" i="3"/>
  <c r="G652" i="3"/>
  <c r="AA656" i="3"/>
  <c r="C634" i="3"/>
  <c r="C633" i="3"/>
  <c r="Q628" i="3"/>
  <c r="G597" i="3"/>
  <c r="G589" i="3"/>
  <c r="H590" i="3"/>
  <c r="AA582" i="3"/>
  <c r="Z572" i="3"/>
  <c r="G596" i="3"/>
  <c r="G594" i="3"/>
  <c r="G587" i="3"/>
  <c r="G595" i="3" s="1"/>
  <c r="G586" i="3"/>
  <c r="H314" i="3"/>
  <c r="H313" i="3"/>
  <c r="H312" i="3"/>
  <c r="H311" i="3"/>
  <c r="AA238" i="3" l="1"/>
  <c r="AA249" i="3"/>
  <c r="L278" i="3"/>
  <c r="L277" i="3"/>
  <c r="L276" i="3"/>
  <c r="L275" i="3"/>
  <c r="L279" i="3"/>
  <c r="BE103" i="3" l="1"/>
  <c r="AC216" i="23"/>
  <c r="Y216" i="23"/>
  <c r="U216" i="23"/>
  <c r="BQ102" i="23"/>
  <c r="BQ101" i="23"/>
  <c r="N11" i="23"/>
  <c r="W879" i="3"/>
  <c r="W855" i="3"/>
  <c r="W847" i="3"/>
  <c r="W862" i="3"/>
  <c r="W872" i="3"/>
  <c r="L44" i="21"/>
  <c r="M44" i="21"/>
  <c r="R44" i="21" s="1" a="1"/>
  <c r="R44" i="21" s="1"/>
  <c r="N44" i="21"/>
  <c r="L45" i="21"/>
  <c r="M45" i="21"/>
  <c r="U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52" i="21" l="1"/>
  <c r="R47" i="21" a="1"/>
  <c r="R47" i="21" s="1"/>
  <c r="T45" i="21"/>
  <c r="T53" i="21"/>
  <c r="U50" i="21"/>
  <c r="R53" i="21" a="1"/>
  <c r="R53" i="21" s="1"/>
  <c r="S50" i="21"/>
  <c r="P50" i="21" a="1"/>
  <c r="P50" i="21" s="1"/>
  <c r="U47" i="21"/>
  <c r="O50" i="21"/>
  <c r="P52" i="21" a="1"/>
  <c r="P52" i="21" s="1"/>
  <c r="T47" i="21"/>
  <c r="S47" i="21"/>
  <c r="P49" i="21" a="1"/>
  <c r="P49" i="21" s="1"/>
  <c r="O49" i="21"/>
  <c r="R49" i="21" a="1"/>
  <c r="R49" i="21" s="1"/>
  <c r="U53" i="21"/>
  <c r="T51" i="21"/>
  <c r="U48" i="21"/>
  <c r="U51" i="21"/>
  <c r="T48" i="21"/>
  <c r="R51" i="21" a="1"/>
  <c r="R51" i="21" s="1"/>
  <c r="S48" i="21"/>
  <c r="P51" i="21" a="1"/>
  <c r="P51" i="21" s="1"/>
  <c r="U49" i="21"/>
  <c r="R48" i="21" a="1"/>
  <c r="R48" i="21" s="1"/>
  <c r="U46" i="21"/>
  <c r="O51" i="21"/>
  <c r="T49" i="21"/>
  <c r="P48" i="21" a="1"/>
  <c r="P48" i="21" s="1"/>
  <c r="T46" i="21"/>
  <c r="S46" i="21"/>
  <c r="T44" i="21"/>
  <c r="R46" i="21" a="1"/>
  <c r="R46" i="21" s="1"/>
  <c r="P47" i="21" a="1"/>
  <c r="P47" i="21" s="1"/>
  <c r="O53" i="21"/>
  <c r="U44" i="21"/>
  <c r="U54" i="21"/>
  <c r="O52" i="21"/>
  <c r="R50" i="21" a="1"/>
  <c r="R50" i="21" s="1"/>
  <c r="T54" i="21"/>
  <c r="S54" i="21"/>
  <c r="R54" i="21" a="1"/>
  <c r="R54" i="21" s="1"/>
  <c r="S53" i="21"/>
  <c r="U52" i="21"/>
  <c r="P54" i="21" a="1"/>
  <c r="P54" i="21" s="1"/>
  <c r="T52" i="21"/>
  <c r="P46" i="21" a="1"/>
  <c r="P46" i="21" s="1"/>
  <c r="R45" i="21" a="1"/>
  <c r="R45" i="21" s="1"/>
  <c r="AD67" i="15" a="1"/>
  <c r="AD67" i="15" s="1"/>
  <c r="Y67" i="15" a="1"/>
  <c r="Y67" i="15" s="1"/>
  <c r="BE62"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19" i="8"/>
  <c r="I19" i="8"/>
  <c r="J18" i="8"/>
  <c r="I18" i="8"/>
  <c r="J17" i="8"/>
  <c r="I17" i="8"/>
  <c r="J16" i="8"/>
  <c r="I16" i="8"/>
  <c r="J13" i="8"/>
  <c r="I13" i="8"/>
  <c r="J12" i="8"/>
  <c r="I12" i="8"/>
  <c r="J11" i="8"/>
  <c r="I11" i="8"/>
  <c r="J10" i="8"/>
  <c r="I10" i="8"/>
  <c r="J6" i="8"/>
  <c r="I6" i="8"/>
  <c r="J5" i="8"/>
  <c r="I5" i="8"/>
  <c r="I4" i="8"/>
  <c r="J4" i="8" s="1"/>
  <c r="AH750" i="3"/>
  <c r="AH749" i="3"/>
  <c r="AH748" i="3"/>
  <c r="AH747" i="3"/>
  <c r="AH746" i="3"/>
  <c r="AH745" i="3"/>
  <c r="AH744" i="3"/>
  <c r="AH743" i="3"/>
  <c r="AH741" i="3"/>
  <c r="AH74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M37" i="21"/>
  <c r="M38" i="21"/>
  <c r="M39" i="21"/>
  <c r="M40" i="21"/>
  <c r="M41" i="21"/>
  <c r="M42" i="21"/>
  <c r="M43" i="2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R84" i="4"/>
  <c r="S84" i="4" s="1"/>
  <c r="E84" i="13" s="1"/>
  <c r="B59" i="4"/>
  <c r="C80" i="11"/>
  <c r="C81" i="11"/>
  <c r="B80" i="11"/>
  <c r="B81" i="11"/>
  <c r="I96" i="13"/>
  <c r="J96" i="13"/>
  <c r="J81" i="13"/>
  <c r="I81" i="13"/>
  <c r="G81" i="13"/>
  <c r="F81" i="13"/>
  <c r="D81" i="13"/>
  <c r="C81" i="13"/>
  <c r="H80" i="13"/>
  <c r="B80" i="13"/>
  <c r="R80" i="4"/>
  <c r="S80" i="4"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7" i="13"/>
  <c r="E65" i="13"/>
  <c r="E53" i="13"/>
  <c r="E51" i="13"/>
  <c r="E49" i="13"/>
  <c r="E48" i="13"/>
  <c r="E47" i="13"/>
  <c r="E46" i="13"/>
  <c r="E45" i="13"/>
  <c r="E41"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R89" i="4"/>
  <c r="S89" i="4" s="1"/>
  <c r="E89" i="13" s="1"/>
  <c r="R88" i="4"/>
  <c r="R87" i="4"/>
  <c r="R86" i="4"/>
  <c r="S86" i="4" s="1"/>
  <c r="E86" i="13" s="1"/>
  <c r="R85" i="4"/>
  <c r="S85" i="4" s="1"/>
  <c r="E85" i="13" s="1"/>
  <c r="R83" i="4"/>
  <c r="R76" i="4"/>
  <c r="R75" i="4"/>
  <c r="R72" i="4"/>
  <c r="R73" i="4"/>
  <c r="R74" i="4"/>
  <c r="R69" i="4"/>
  <c r="R65" i="4"/>
  <c r="R61" i="4"/>
  <c r="R60" i="4"/>
  <c r="R59" i="4"/>
  <c r="R58" i="4"/>
  <c r="R57" i="4"/>
  <c r="R53" i="4"/>
  <c r="R52" i="4"/>
  <c r="S52" i="4" s="1"/>
  <c r="E52" i="13" s="1"/>
  <c r="R51" i="4"/>
  <c r="R50" i="4"/>
  <c r="S50" i="4" s="1"/>
  <c r="E50" i="13" s="1"/>
  <c r="R49" i="4"/>
  <c r="R48" i="4"/>
  <c r="R47" i="4"/>
  <c r="R46" i="4"/>
  <c r="R45" i="4"/>
  <c r="R43" i="4"/>
  <c r="S43" i="4" s="1"/>
  <c r="E43" i="13" s="1"/>
  <c r="R41" i="4"/>
  <c r="R37" i="4"/>
  <c r="S37" i="4" s="1"/>
  <c r="E37" i="13" s="1"/>
  <c r="R35" i="4"/>
  <c r="S35" i="4" s="1"/>
  <c r="E35" i="13" s="1"/>
  <c r="R34" i="4"/>
  <c r="S34" i="4" s="1"/>
  <c r="E34" i="13" s="1"/>
  <c r="R33" i="4"/>
  <c r="S33" i="4" s="1"/>
  <c r="E33" i="13" s="1"/>
  <c r="R32" i="4"/>
  <c r="S32" i="4" s="1"/>
  <c r="E32" i="13" s="1"/>
  <c r="R31" i="4"/>
  <c r="S31" i="4" s="1"/>
  <c r="E31"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I8" i="8" s="1"/>
  <c r="A9" i="8"/>
  <c r="D9" i="8"/>
  <c r="I9" i="8" s="1"/>
  <c r="J9" i="8" s="1"/>
  <c r="A10" i="8"/>
  <c r="D10" i="8"/>
  <c r="A11" i="8"/>
  <c r="D11" i="8"/>
  <c r="A12" i="8"/>
  <c r="D12" i="8"/>
  <c r="A13" i="8"/>
  <c r="D13" i="8"/>
  <c r="A14" i="8"/>
  <c r="D14" i="8"/>
  <c r="I14" i="8" s="1"/>
  <c r="A15" i="8"/>
  <c r="D15" i="8"/>
  <c r="I15" i="8" s="1"/>
  <c r="A16" i="8"/>
  <c r="D16" i="8"/>
  <c r="A17" i="8"/>
  <c r="D17" i="8"/>
  <c r="A18" i="8"/>
  <c r="D18" i="8"/>
  <c r="A19" i="8"/>
  <c r="D19" i="8"/>
  <c r="A20" i="8"/>
  <c r="D20" i="8"/>
  <c r="I20" i="8" s="1"/>
  <c r="A21" i="8"/>
  <c r="D21" i="8"/>
  <c r="I21" i="8" s="1"/>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40" i="4" s="1"/>
  <c r="G40" i="4" s="1"/>
  <c r="E40" i="4" s="1"/>
  <c r="E42" i="4" s="1"/>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K42" i="4"/>
  <c r="L42" i="4"/>
  <c r="O42" i="4"/>
  <c r="Q42" i="4"/>
  <c r="B43" i="4"/>
  <c r="B45" i="4"/>
  <c r="B46" i="4"/>
  <c r="B47" i="4"/>
  <c r="B48" i="4"/>
  <c r="B49" i="4"/>
  <c r="B50" i="4"/>
  <c r="B51" i="4"/>
  <c r="B52" i="4"/>
  <c r="B53" i="4"/>
  <c r="E54" i="4"/>
  <c r="G54" i="4"/>
  <c r="H54" i="4"/>
  <c r="K54" i="4"/>
  <c r="L54" i="4"/>
  <c r="O54" i="4"/>
  <c r="Q54" i="4"/>
  <c r="B56" i="4"/>
  <c r="B57" i="4"/>
  <c r="B58" i="4"/>
  <c r="B60" i="4"/>
  <c r="B61"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F30" i="4" s="1"/>
  <c r="E30" i="4" s="1"/>
  <c r="R30" i="4" s="1"/>
  <c r="S30" i="4" s="1"/>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H598" i="3" s="1"/>
  <c r="Z593" i="3"/>
  <c r="G601" i="3"/>
  <c r="Z601" i="3"/>
  <c r="AA606" i="3" s="1"/>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H664" i="3" s="1"/>
  <c r="Z659" i="3"/>
  <c r="G667" i="3"/>
  <c r="H672" i="3" s="1"/>
  <c r="Z667" i="3"/>
  <c r="AA672" i="3" s="1"/>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AH738" i="3" s="1"/>
  <c r="X739" i="3"/>
  <c r="AH739" i="3" s="1"/>
  <c r="X740" i="3"/>
  <c r="X741" i="3"/>
  <c r="M832" i="3"/>
  <c r="Q832" i="3"/>
  <c r="U832" i="3"/>
  <c r="Y832" i="3"/>
  <c r="AC832" i="3"/>
  <c r="AG832" i="3"/>
  <c r="Z902" i="3"/>
  <c r="S81" i="4" l="1"/>
  <c r="E81" i="13" s="1"/>
  <c r="E80" i="13"/>
  <c r="R40" i="4"/>
  <c r="S40" i="4" s="1"/>
  <c r="F38" i="4"/>
  <c r="J20" i="8"/>
  <c r="J8" i="8"/>
  <c r="S104" i="4"/>
  <c r="BA1058" i="3" s="1"/>
  <c r="E38" i="4"/>
  <c r="S96" i="4"/>
  <c r="E96" i="13" s="1"/>
  <c r="S54" i="4"/>
  <c r="E54" i="13" s="1"/>
  <c r="S38" i="4"/>
  <c r="E38" i="13" s="1"/>
  <c r="E30" i="13"/>
  <c r="G56" i="4"/>
  <c r="G42" i="4"/>
  <c r="H42" i="4"/>
  <c r="H63" i="4" s="1"/>
  <c r="H97" i="4" s="1"/>
  <c r="H105" i="4" s="1"/>
  <c r="J14" i="8"/>
  <c r="B26" i="4"/>
  <c r="J21" i="8"/>
  <c r="J15" i="8"/>
  <c r="D36" i="11"/>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54" i="4"/>
  <c r="D63" i="13"/>
  <c r="D97" i="13" s="1"/>
  <c r="D105" i="13" s="1"/>
  <c r="B97" i="11"/>
  <c r="C55" i="11"/>
  <c r="D23" i="11"/>
  <c r="D19" i="11"/>
  <c r="D14" i="11"/>
  <c r="D7" i="11"/>
  <c r="R8" i="4"/>
  <c r="R96" i="4"/>
  <c r="G63" i="13"/>
  <c r="G97" i="13" s="1"/>
  <c r="G105" i="13" s="1"/>
  <c r="G107" i="13" s="1"/>
  <c r="R81" i="4"/>
  <c r="M53" i="7"/>
  <c r="K58" i="7"/>
  <c r="N188" i="23"/>
  <c r="C27" i="11"/>
  <c r="AB48" i="15"/>
  <c r="D46" i="11"/>
  <c r="B82" i="11"/>
  <c r="I58" i="7"/>
  <c r="C9" i="11"/>
  <c r="B63" i="11"/>
  <c r="T63" i="4"/>
  <c r="B96" i="4"/>
  <c r="B38" i="4"/>
  <c r="D84" i="11"/>
  <c r="B54" i="13"/>
  <c r="K63" i="4"/>
  <c r="K97" i="4" s="1"/>
  <c r="K105" i="4" s="1"/>
  <c r="CI753" i="3"/>
  <c r="X1048" i="3" s="1"/>
  <c r="BG243" i="3"/>
  <c r="BO245" i="3" s="1"/>
  <c r="T267" i="3" s="1"/>
  <c r="AH721" i="3"/>
  <c r="J7" i="8"/>
  <c r="U20" i="21"/>
  <c r="U33" i="21"/>
  <c r="U32" i="21"/>
  <c r="U24" i="21"/>
  <c r="U28"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AV122" i="20"/>
  <c r="AW121" i="20" s="1"/>
  <c r="R36" i="21" a="1"/>
  <c r="R36" i="21" s="1"/>
  <c r="R22" i="21" a="1"/>
  <c r="R22" i="21" s="1"/>
  <c r="T38" i="21"/>
  <c r="T29" i="21"/>
  <c r="T20" i="21"/>
  <c r="R38" i="21" a="1"/>
  <c r="R38" i="21" s="1"/>
  <c r="R20" i="21" a="1"/>
  <c r="R20"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42" i="4" l="1"/>
  <c r="J40" i="8"/>
  <c r="Z809" i="3" s="1"/>
  <c r="E104" i="13"/>
  <c r="S42" i="4"/>
  <c r="E40" i="13"/>
  <c r="E56" i="4"/>
  <c r="G62" i="4"/>
  <c r="G63" i="4" s="1"/>
  <c r="G97" i="4" s="1"/>
  <c r="G105" i="4" s="1"/>
  <c r="AJ621" i="20"/>
  <c r="G94" i="21"/>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42" i="13" l="1"/>
  <c r="S63" i="4"/>
  <c r="AK469" i="20"/>
  <c r="T817" i="20" s="1"/>
  <c r="AF817" i="20" s="1"/>
  <c r="BE80" i="3" s="1"/>
  <c r="R56" i="4"/>
  <c r="R62" i="4" s="1"/>
  <c r="R63" i="4" s="1"/>
  <c r="R97" i="4" s="1"/>
  <c r="R105" i="4" s="1"/>
  <c r="E62" i="4"/>
  <c r="E63" i="4" s="1"/>
  <c r="E97" i="4" s="1"/>
  <c r="E105" i="4" s="1"/>
  <c r="O45" i="21"/>
  <c r="P45" i="21" s="1" a="1"/>
  <c r="P45" i="21" s="1"/>
  <c r="S45" i="21" s="1"/>
  <c r="O26" i="21"/>
  <c r="P26" i="21" s="1" a="1"/>
  <c r="P26" i="21" s="1"/>
  <c r="S26" i="21" s="1"/>
  <c r="O27" i="21"/>
  <c r="P27" i="21" s="1" a="1"/>
  <c r="P27" i="21" s="1"/>
  <c r="S27"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O39" i="21"/>
  <c r="P39" i="21" s="1" a="1"/>
  <c r="P39" i="21" s="1"/>
  <c r="S39" i="21" s="1"/>
  <c r="O38" i="21"/>
  <c r="P38" i="21" s="1" a="1"/>
  <c r="P38" i="21" s="1"/>
  <c r="S38" i="21" s="1"/>
  <c r="O37" i="21"/>
  <c r="P37" i="21" s="1" a="1"/>
  <c r="P37" i="21" s="1"/>
  <c r="S37" i="21" s="1"/>
  <c r="O36" i="21"/>
  <c r="P36" i="21" s="1" a="1"/>
  <c r="P36" i="21" s="1"/>
  <c r="S36" i="21" s="1"/>
  <c r="O31" i="21"/>
  <c r="P31" i="21" s="1" a="1"/>
  <c r="P31" i="21" s="1"/>
  <c r="S31" i="21" s="1"/>
  <c r="O30" i="21"/>
  <c r="P30" i="21" s="1" a="1"/>
  <c r="P30" i="21" s="1"/>
  <c r="S30" i="21" s="1"/>
  <c r="O28" i="21"/>
  <c r="P28" i="21" s="1" a="1"/>
  <c r="P28" i="21" s="1"/>
  <c r="S28" i="21" s="1"/>
  <c r="O44" i="21"/>
  <c r="P44" i="21" s="1" a="1"/>
  <c r="P44" i="21" s="1"/>
  <c r="S44" i="21" s="1"/>
  <c r="O43" i="21"/>
  <c r="P43" i="21" s="1" a="1"/>
  <c r="P43" i="21" s="1"/>
  <c r="S43" i="21" s="1"/>
  <c r="O42" i="21"/>
  <c r="P42" i="21" s="1" a="1"/>
  <c r="P42" i="21" s="1"/>
  <c r="S42" i="21" s="1"/>
  <c r="O20" i="21"/>
  <c r="P20" i="21" s="1" a="1"/>
  <c r="P20" i="21" s="1"/>
  <c r="S20" i="21" s="1"/>
  <c r="O41" i="21"/>
  <c r="P41" i="21" s="1" a="1"/>
  <c r="P41" i="21" s="1"/>
  <c r="S41" i="21" s="1"/>
  <c r="O40" i="21"/>
  <c r="P40" i="21" s="1" a="1"/>
  <c r="P40" i="21" s="1"/>
  <c r="S40" i="21" s="1"/>
  <c r="O35" i="21"/>
  <c r="P35" i="21" s="1" a="1"/>
  <c r="P35" i="21" s="1"/>
  <c r="S35" i="21" s="1"/>
  <c r="O34" i="21"/>
  <c r="P34" i="21" s="1" a="1"/>
  <c r="P34" i="21" s="1"/>
  <c r="S34" i="21" s="1"/>
  <c r="O33" i="21"/>
  <c r="P33" i="21" s="1" a="1"/>
  <c r="P33" i="21" s="1"/>
  <c r="S33" i="21" s="1"/>
  <c r="O32" i="21"/>
  <c r="P32" i="21" s="1" a="1"/>
  <c r="P32" i="21" s="1"/>
  <c r="S32" i="21" s="1"/>
  <c r="O29" i="21"/>
  <c r="P29" i="21" s="1" a="1"/>
  <c r="P29" i="21" s="1"/>
  <c r="S29" i="21" s="1"/>
  <c r="D64" i="11"/>
  <c r="B105" i="4"/>
  <c r="AB47" i="15" s="1"/>
  <c r="BE101" i="3"/>
  <c r="AK84" i="20"/>
  <c r="AK191" i="20" s="1"/>
  <c r="T811" i="20" s="1"/>
  <c r="AF811" i="20" s="1"/>
  <c r="BE76" i="3" s="1"/>
  <c r="D13" i="11"/>
  <c r="B97" i="13"/>
  <c r="B97" i="4"/>
  <c r="B105" i="13"/>
  <c r="AG269" i="20"/>
  <c r="O58" i="7"/>
  <c r="Q53" i="7"/>
  <c r="T105" i="4"/>
  <c r="H97" i="13"/>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63" i="13" l="1"/>
  <c r="S97" i="4"/>
  <c r="AB266" i="20"/>
  <c r="AG268" i="20" s="1"/>
  <c r="AG270" i="20" s="1"/>
  <c r="AK273" i="20" s="1"/>
  <c r="T812" i="20" s="1"/>
  <c r="AF812" i="20" s="1"/>
  <c r="BE77" i="3" s="1"/>
  <c r="AC454" i="3"/>
  <c r="T805" i="20"/>
  <c r="AF805" i="20" s="1"/>
  <c r="BE72" i="3" s="1"/>
  <c r="N185" i="23"/>
  <c r="BE22" i="3"/>
  <c r="AB49" i="15"/>
  <c r="AB54" i="15" s="1"/>
  <c r="AB55" i="15" s="1"/>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Z1046" i="3" l="1"/>
  <c r="S105" i="4"/>
  <c r="E97" i="13"/>
  <c r="AJ994" i="3"/>
  <c r="AJ1007" i="3"/>
  <c r="AJ1029" i="3"/>
  <c r="AJ1041" i="3"/>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S107" i="4" l="1"/>
  <c r="E105" i="13"/>
  <c r="AZ1051" i="3"/>
  <c r="BA1056" i="3"/>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BA1055" i="3" l="1"/>
  <c r="BA1059" i="3" s="1"/>
  <c r="AA1056" i="3"/>
  <c r="AF551" i="20"/>
  <c r="AC456" i="3"/>
  <c r="E107" i="13"/>
  <c r="G80" i="2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AF553" i="20" l="1"/>
  <c r="AK559" i="20" s="1"/>
  <c r="T818" i="20" s="1"/>
  <c r="AF818" i="20" s="1"/>
  <c r="BE81" i="3" s="1"/>
  <c r="AA1057" i="3"/>
  <c r="G1058" i="3" s="1"/>
  <c r="T11" i="15"/>
  <c r="T23" i="15" s="1"/>
  <c r="Y11" i="15"/>
  <c r="Y23" i="15" s="1"/>
  <c r="Y26" i="15" s="1"/>
  <c r="Y28" i="15" s="1"/>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D38" i="15" l="1"/>
  <c r="AD40" i="15" s="1"/>
  <c r="T26" i="15"/>
  <c r="T28" i="15" s="1"/>
  <c r="T29" i="15" s="1"/>
  <c r="Y64" i="15"/>
  <c r="Y68" i="15" s="1"/>
  <c r="Y69" i="15" s="1"/>
  <c r="AC53" i="7"/>
  <c r="AA58" i="7"/>
  <c r="U4" i="7"/>
  <c r="S5" i="7"/>
  <c r="M48" i="7"/>
  <c r="M47" i="7"/>
  <c r="M60" i="7"/>
  <c r="O45" i="7"/>
  <c r="O49" i="7"/>
  <c r="K66" i="7"/>
  <c r="K67" i="7"/>
  <c r="K62" i="7"/>
  <c r="Q7" i="7"/>
  <c r="Q11" i="7" s="1"/>
  <c r="Q37" i="7" s="1"/>
  <c r="S6" i="7"/>
  <c r="I70" i="7"/>
  <c r="I72" i="7" s="1"/>
  <c r="W22" i="7"/>
  <c r="W35" i="7" s="1"/>
  <c r="Y15" i="7"/>
  <c r="W9" i="7"/>
  <c r="Y8" i="7"/>
  <c r="Y38" i="15" l="1"/>
  <c r="Y40" i="15" s="1"/>
  <c r="Y41" i="15" s="1"/>
  <c r="AB56" i="15" s="1"/>
  <c r="M26" i="3" s="1"/>
  <c r="BE19" i="3" s="1"/>
  <c r="AE53" i="7"/>
  <c r="AC58" i="7"/>
  <c r="U5" i="7"/>
  <c r="W4" i="7"/>
  <c r="Q49" i="7"/>
  <c r="Q45" i="7"/>
  <c r="M62" i="7"/>
  <c r="M67" i="7"/>
  <c r="M66" i="7"/>
  <c r="O47" i="7"/>
  <c r="O48" i="7"/>
  <c r="O60" i="7"/>
  <c r="K70" i="7"/>
  <c r="K72" i="7" s="1"/>
  <c r="S7" i="7"/>
  <c r="S11" i="7" s="1"/>
  <c r="S37" i="7" s="1"/>
  <c r="U6" i="7"/>
  <c r="Y22" i="7"/>
  <c r="Y35" i="7" s="1"/>
  <c r="AA15" i="7"/>
  <c r="Y9" i="7"/>
  <c r="AA8" i="7"/>
  <c r="P204" i="3" l="1"/>
  <c r="AB57" i="15"/>
  <c r="AB59" i="15" s="1"/>
  <c r="AG53" i="7"/>
  <c r="AG58" i="7" s="1"/>
  <c r="AE58" i="7"/>
  <c r="M70" i="7"/>
  <c r="M72" i="7" s="1"/>
  <c r="W5" i="7"/>
  <c r="Y4" i="7"/>
  <c r="U7" i="7"/>
  <c r="U11" i="7" s="1"/>
  <c r="U37" i="7" s="1"/>
  <c r="W6" i="7"/>
  <c r="O67" i="7"/>
  <c r="O66" i="7"/>
  <c r="O62" i="7"/>
  <c r="Q60" i="7"/>
  <c r="Q48" i="7"/>
  <c r="Q47" i="7"/>
  <c r="S49" i="7"/>
  <c r="S45" i="7"/>
  <c r="AC15" i="7"/>
  <c r="AA22" i="7"/>
  <c r="AA35" i="7" s="1"/>
  <c r="AC8" i="7"/>
  <c r="AA9" i="7"/>
  <c r="AB72" i="15" l="1"/>
  <c r="AA4" i="7"/>
  <c r="Y5" i="7"/>
  <c r="Y6" i="7"/>
  <c r="W7" i="7"/>
  <c r="W11" i="7" s="1"/>
  <c r="W37" i="7" s="1"/>
  <c r="U45" i="7"/>
  <c r="U49" i="7"/>
  <c r="Q66" i="7"/>
  <c r="Q67" i="7"/>
  <c r="Q62" i="7"/>
  <c r="S48" i="7"/>
  <c r="S47" i="7"/>
  <c r="S60" i="7"/>
  <c r="O70" i="7"/>
  <c r="O72" i="7" s="1"/>
  <c r="AE15" i="7"/>
  <c r="AC22" i="7"/>
  <c r="AC35" i="7" s="1"/>
  <c r="AC9" i="7"/>
  <c r="AE8" i="7"/>
  <c r="BE63" i="3" l="1"/>
  <c r="AB77" i="15"/>
  <c r="AB78" i="15" s="1"/>
  <c r="AB79" i="15" s="1"/>
  <c r="AB81" i="15" s="1"/>
  <c r="J82" i="15" s="1"/>
  <c r="AA5" i="7"/>
  <c r="AC4" i="7"/>
  <c r="S67" i="7"/>
  <c r="S66" i="7"/>
  <c r="S62" i="7"/>
  <c r="U48" i="7"/>
  <c r="U60" i="7"/>
  <c r="U47" i="7"/>
  <c r="Q70" i="7"/>
  <c r="Q72" i="7" s="1"/>
  <c r="W49" i="7"/>
  <c r="W45" i="7"/>
  <c r="Y7" i="7"/>
  <c r="Y11" i="7" s="1"/>
  <c r="Y37" i="7" s="1"/>
  <c r="AA6" i="7"/>
  <c r="AE22" i="7"/>
  <c r="AE35" i="7" s="1"/>
  <c r="AG15" i="7"/>
  <c r="AG22" i="7" s="1"/>
  <c r="AG35" i="7" s="1"/>
  <c r="AE9" i="7"/>
  <c r="AG8" i="7"/>
  <c r="AG9" i="7" s="1"/>
  <c r="I10" i="21" l="1"/>
  <c r="I11" i="21" s="1"/>
  <c r="I18" i="21" s="1"/>
  <c r="H4" i="21" s="1"/>
  <c r="M27" i="3"/>
  <c r="BE20" i="3" s="1"/>
  <c r="S70" i="7"/>
  <c r="S72" i="7" s="1"/>
  <c r="AC5" i="7"/>
  <c r="AE4" i="7"/>
  <c r="AC6" i="7"/>
  <c r="AA7" i="7"/>
  <c r="AA11" i="7" s="1"/>
  <c r="AA37" i="7" s="1"/>
  <c r="U66" i="7"/>
  <c r="U67" i="7"/>
  <c r="U62" i="7"/>
  <c r="Y49" i="7"/>
  <c r="Y45" i="7"/>
  <c r="W60" i="7"/>
  <c r="W47" i="7"/>
  <c r="W48" i="7"/>
  <c r="P205" i="3" l="1"/>
  <c r="AE5" i="7"/>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C554" authorId="0" shapeId="0" xr:uid="{7B870D3F-5F67-455F-8509-5A574D68051B}">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rgb="FF000000"/>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<sst xmlns="http://schemas.openxmlformats.org/spreadsheetml/2006/main" count="5013" uniqueCount="2755">
  <si>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</si>
  <si>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</si>
  <si>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</si>
  <si>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</si>
  <si>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</si>
  <si>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</si>
  <si>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</si>
  <si>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</si>
  <si>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</si>
  <si>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</si>
  <si>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</si>
  <si>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</si>
  <si>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</si>
  <si>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</si>
  <si>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</si>
  <si>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</si>
  <si>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</si>
  <si>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</si>
  <si>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</si>
  <si>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</si>
  <si>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</si>
  <si>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</si>
  <si>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</si>
  <si>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</si>
  <si>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</si>
  <si>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</si>
  <si>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</si>
  <si>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</si>
  <si>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</si>
  <si>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</si>
  <si>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</si>
  <si>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</si>
  <si>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</si>
  <si>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</si>
  <si>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</si>
  <si>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</si>
  <si>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</si>
  <si>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</si>
  <si>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</si>
  <si>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</si>
  <si>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</si>
  <si>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</si>
  <si>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</si>
  <si>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</si>
  <si>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</si>
  <si>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</si>
  <si>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</si>
  <si>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</si>
  <si>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</si>
  <si>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</si>
  <si>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</si>
  <si>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</si>
  <si>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</si>
  <si>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</si>
  <si>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</si>
  <si>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</si>
  <si>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</si>
  <si>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</si>
  <si>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</si>
  <si>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</si>
  <si>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</si>
  <si>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</si>
  <si>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</si>
  <si>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</si>
  <si>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</si>
  <si>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</si>
  <si>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</si>
  <si>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</si>
  <si>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</si>
  <si>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</si>
  <si>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</si>
  <si>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</si>
  <si>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</si>
  <si>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</si>
  <si>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</si>
  <si>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</si>
  <si>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</si>
  <si>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</si>
  <si>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</si>
  <si>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</si>
  <si>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</si>
  <si>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</si>
  <si>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</si>
  <si>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</si>
  <si>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</si>
  <si>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</si>
  <si>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</si>
  <si>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</si>
  <si>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</si>
  <si>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</si>
  <si>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</si>
  <si>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</si>
  <si>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</si>
  <si>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</si>
  <si>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</si>
  <si>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</si>
  <si>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</si>
  <si>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</si>
  <si>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</si>
  <si>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</si>
  <si>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</si>
  <si>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</si>
  <si>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</si>
  <si>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</si>
  <si>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</si>
  <si>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</si>
  <si>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</si>
  <si>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</si>
  <si>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</si>
  <si>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</si>
  <si>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</si>
  <si>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</si>
  <si>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</si>
  <si>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</si>
  <si>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</si>
  <si>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</si>
  <si>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</si>
  <si>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</si>
  <si>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</si>
  <si>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</si>
  <si>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</si>
  <si>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</si>
  <si>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</si>
  <si>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</si>
  <si>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</si>
  <si>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</si>
  <si>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</si>
  <si>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</si>
  <si>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</si>
  <si>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</si>
  <si>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</si>
  <si>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</si>
  <si>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</si>
  <si>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</si>
  <si>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</si>
  <si>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</si>
  <si>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</si>
  <si>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</si>
  <si>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</si>
  <si>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</si>
  <si>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</si>
  <si>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</si>
  <si>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</si>
  <si>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</si>
  <si>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</si>
  <si>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</si>
  <si>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</si>
  <si>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</si>
  <si>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</si>
  <si>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</si>
  <si>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</si>
  <si>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</si>
  <si>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</si>
  <si>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</si>
  <si>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</si>
  <si>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</si>
  <si>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</si>
  <si>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</si>
  <si>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</si>
  <si>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</si>
  <si>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</si>
  <si>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</si>
  <si>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</si>
  <si>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</si>
  <si>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</si>
  <si>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</si>
  <si>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</si>
  <si>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</si>
  <si>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</si>
  <si>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</si>
  <si>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</si>
  <si>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</si>
  <si>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</si>
  <si>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</si>
  <si>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</si>
  <si>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</si>
  <si>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</si>
  <si>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</si>
  <si>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</si>
  <si>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</si>
  <si>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</si>
  <si>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</si>
  <si>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</si>
  <si>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</si>
  <si>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</si>
  <si>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</si>
  <si>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</si>
  <si>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</si>
  <si>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</si>
  <si>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</si>
  <si>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</si>
  <si>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</si>
  <si>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</si>
  <si>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</si>
  <si>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</si>
  <si>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</si>
  <si>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</si>
  <si>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</si>
  <si>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</si>
  <si>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</si>
  <si>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</si>
  <si>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</si>
  <si>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</si>
  <si>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</si>
  <si>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</si>
  <si>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</si>
  <si>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</si>
  <si>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</si>
  <si>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</si>
  <si>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</si>
  <si>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</si>
  <si>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</si>
  <si>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</si>
  <si>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</si>
  <si>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</si>
  <si>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</si>
  <si>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</si>
  <si>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</si>
  <si>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</si>
  <si>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</si>
  <si>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</si>
  <si>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</si>
  <si>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</si>
  <si>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</si>
  <si>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</si>
  <si>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</si>
  <si>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</si>
  <si>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</si>
  <si>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</si>
  <si>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</si>
  <si>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</si>
  <si>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</si>
  <si>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</si>
  <si>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</si>
  <si>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</si>
  <si>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</si>
  <si>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</si>
  <si>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</si>
  <si>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</si>
  <si>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</si>
  <si>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</si>
  <si>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</si>
  <si>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</si>
  <si>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</si>
  <si>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</si>
  <si>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</si>
  <si>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</si>
  <si>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</si>
  <si>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</si>
  <si>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</si>
  <si>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</si>
  <si>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</si>
  <si>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</si>
  <si>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</si>
  <si>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</si>
  <si>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</si>
  <si>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</si>
  <si>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</si>
  <si>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</si>
  <si>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</si>
  <si>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</si>
  <si>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</si>
  <si>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</si>
  <si>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</si>
  <si>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</si>
  <si>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</si>
  <si>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</si>
  <si>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</si>
  <si>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</si>
  <si>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</si>
  <si>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</si>
  <si>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</si>
  <si>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</si>
  <si>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</si>
  <si>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</si>
  <si>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</si>
  <si>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</si>
  <si>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</si>
  <si>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</si>
  <si>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</si>
  <si>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</si>
  <si>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</si>
  <si>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</si>
  <si>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</si>
  <si>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</si>
  <si>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</si>
  <si>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</si>
  <si>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</si>
  <si>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</si>
  <si>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</si>
  <si>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</si>
  <si>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</si>
  <si>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</si>
  <si>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</si>
  <si>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</si>
  <si>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</si>
  <si>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</si>
  <si>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</si>
  <si>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</si>
  <si>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</si>
  <si>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</si>
  <si>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</si>
  <si>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</si>
  <si>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</si>
  <si>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</si>
  <si>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</si>
  <si>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</si>
  <si>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</si>
  <si>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</si>
  <si>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</si>
  <si>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</si>
  <si>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</si>
  <si>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</si>
  <si>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</si>
  <si>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</si>
  <si>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</si>
  <si>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</si>
  <si>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</si>
  <si>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</si>
  <si>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</si>
  <si>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</si>
  <si>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</si>
  <si>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</si>
  <si>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</si>
  <si>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</si>
  <si>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</si>
  <si>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</si>
  <si>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</si>
  <si>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</si>
  <si>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</si>
  <si>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</si>
  <si>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</si>
  <si>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</si>
  <si>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</si>
  <si>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</si>
  <si>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</si>
  <si>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</si>
  <si>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</si>
  <si>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</si>
  <si>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</si>
  <si>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</si>
  <si>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</si>
  <si>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</si>
  <si>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</si>
  <si>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</si>
  <si>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</si>
  <si>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</si>
  <si>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</si>
  <si>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</si>
  <si>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</si>
  <si>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</si>
  <si>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</si>
  <si>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</si>
  <si>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</si>
  <si>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</si>
  <si>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</si>
  <si>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</si>
  <si>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</si>
  <si>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</si>
  <si>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</si>
  <si>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</si>
  <si>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</si>
  <si>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</si>
  <si>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</si>
  <si>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</si>
  <si>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</si>
  <si>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</si>
  <si>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</si>
  <si>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</si>
  <si>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</si>
  <si>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</si>
  <si>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</si>
  <si>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</si>
  <si>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</si>
  <si>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</si>
  <si>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</si>
  <si>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</si>
  <si>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</si>
  <si>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</si>
  <si>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</si>
  <si>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</si>
  <si>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</si>
  <si>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</si>
  <si>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</si>
  <si>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</si>
  <si>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</si>
  <si>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</si>
  <si>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</si>
  <si>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</si>
  <si>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</si>
  <si>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</si>
  <si>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</si>
  <si>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</si>
  <si>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</si>
  <si>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</si>
  <si>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</si>
  <si>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</si>
  <si>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</si>
  <si>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</si>
  <si>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</si>
  <si>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</si>
  <si>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</si>
  <si>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</si>
  <si>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</si>
  <si>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</si>
  <si>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</si>
  <si>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</si>
  <si>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</si>
  <si>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</si>
  <si>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</si>
  <si>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</si>
  <si>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</si>
  <si>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</si>
  <si>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</si>
  <si>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</si>
  <si>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</si>
  <si>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</si>
  <si>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</si>
  <si>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</si>
  <si>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</si>
  <si>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</si>
  <si>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</si>
  <si>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</si>
  <si>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</si>
  <si>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</si>
  <si>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</si>
  <si>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</si>
  <si>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</si>
  <si>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</si>
  <si>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</si>
  <si>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</si>
  <si>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</si>
  <si>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</si>
  <si>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</si>
  <si>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</si>
  <si>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</si>
  <si>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</si>
  <si>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</si>
  <si>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</si>
  <si>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</si>
  <si>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</si>
  <si>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</si>
  <si>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</si>
  <si>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</si>
  <si>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</si>
  <si>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</si>
  <si>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</si>
  <si>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</si>
  <si>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</si>
  <si>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</si>
  <si>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</si>
  <si>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</si>
  <si>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</si>
  <si>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</si>
  <si>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</si>
  <si>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</si>
  <si>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</si>
  <si>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</si>
  <si>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</si>
  <si>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</si>
  <si>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</si>
  <si>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</si>
  <si>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</si>
  <si>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</si>
  <si>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</si>
  <si>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</si>
  <si>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</si>
  <si>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</si>
  <si>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</si>
  <si>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</si>
  <si>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</si>
  <si>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</si>
  <si>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</si>
  <si>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</si>
  <si>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</si>
  <si>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</si>
  <si>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</si>
  <si>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</si>
  <si>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</si>
  <si>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</si>
  <si>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</si>
  <si>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</si>
  <si>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</si>
  <si>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</si>
  <si>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</si>
  <si>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</si>
  <si>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</si>
  <si>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</si>
  <si>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</si>
  <si>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</si>
  <si>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</si>
  <si>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</si>
  <si>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</si>
  <si>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</si>
  <si>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</si>
  <si>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</si>
  <si>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</si>
  <si>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</si>
  <si>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</si>
  <si>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</si>
  <si>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</si>
  <si>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</si>
  <si>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</si>
  <si>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</si>
  <si>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</si>
  <si>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</si>
  <si>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</si>
  <si>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</si>
  <si>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</si>
  <si>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</si>
  <si>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</si>
  <si>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</si>
  <si>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</si>
  <si>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</si>
  <si>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</si>
  <si>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</si>
  <si>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</si>
  <si>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</si>
  <si>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</si>
  <si>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</si>
  <si>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</si>
  <si>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</si>
  <si>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</si>
  <si>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</si>
  <si>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</si>
  <si>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</si>
  <si>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</si>
  <si>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</si>
  <si>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</si>
  <si>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</si>
  <si>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</si>
  <si>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</si>
  <si>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</si>
  <si>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</si>
  <si>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</si>
  <si>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</si>
  <si>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</si>
  <si>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</si>
  <si>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</si>
  <si>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</si>
  <si>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</si>
  <si>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</si>
  <si>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</si>
  <si>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</si>
  <si>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</si>
  <si>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</si>
  <si>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</si>
  <si>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</si>
  <si>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</si>
  <si>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</si>
  <si>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</si>
  <si>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</si>
  <si>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</si>
  <si>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</si>
  <si>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</si>
  <si>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</si>
  <si>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</si>
  <si>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</si>
  <si>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</si>
  <si>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</si>
  <si>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</si>
  <si>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</si>
  <si>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</si>
  <si>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</si>
  <si>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</si>
  <si>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</si>
  <si>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</si>
  <si>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</si>
  <si>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</si>
  <si>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</si>
  <si>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</si>
  <si>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</si>
  <si>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</si>
  <si>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</si>
  <si>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</si>
  <si>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</si>
  <si>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</si>
  <si>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</si>
  <si>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</si>
  <si>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</si>
  <si>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</si>
  <si>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</si>
  <si>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</si>
  <si>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</si>
  <si>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</si>
  <si>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</si>
  <si>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</si>
  <si>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</si>
  <si>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</si>
  <si>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</si>
  <si>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</si>
  <si>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</si>
  <si>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</si>
  <si>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</si>
  <si>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</si>
  <si>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</si>
  <si>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</si>
  <si>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</si>
  <si>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</si>
  <si>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</si>
  <si>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</si>
  <si>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</si>
  <si>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</si>
  <si>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</si>
  <si>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</si>
  <si>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</si>
  <si>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</si>
  <si>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</si>
  <si>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</si>
  <si>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</si>
  <si>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</si>
  <si>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</si>
  <si>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</si>
  <si>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</si>
  <si>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</si>
  <si>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</si>
  <si>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</si>
  <si>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</si>
  <si>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</si>
  <si>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</si>
  <si>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</si>
  <si>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</si>
  <si>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</si>
  <si>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</si>
  <si>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</si>
  <si>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</si>
  <si>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</si>
  <si>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</si>
  <si>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</si>
  <si>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</si>
  <si>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</si>
  <si>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</si>
  <si>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</si>
  <si>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</si>
  <si>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</si>
  <si>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</si>
  <si>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</si>
  <si>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</si>
  <si>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</si>
  <si>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</si>
  <si>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</si>
  <si>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</si>
  <si>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</si>
  <si>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</si>
  <si>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</si>
  <si>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</si>
  <si>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</si>
  <si>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</si>
  <si>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</si>
  <si>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</si>
  <si>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</si>
  <si>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</si>
  <si>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</si>
  <si>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</si>
  <si>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</si>
  <si>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</si>
  <si>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</si>
  <si>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</si>
  <si>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</si>
  <si>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</si>
  <si>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</si>
  <si>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</si>
  <si>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</si>
  <si>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</si>
  <si>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</si>
  <si>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</si>
  <si>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</si>
  <si>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</si>
  <si>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</si>
  <si>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</si>
  <si>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</si>
  <si>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</si>
  <si>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</si>
  <si>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</si>
  <si>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</si>
  <si>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</si>
  <si>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</si>
  <si>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</si>
  <si>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</si>
  <si>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</si>
  <si>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</si>
  <si>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</si>
  <si>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</si>
  <si>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</si>
  <si>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</si>
  <si>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</si>
  <si>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</si>
  <si>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</si>
  <si>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</si>
  <si>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</si>
  <si>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</si>
  <si>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</si>
  <si>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</si>
  <si>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</si>
  <si>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</si>
  <si>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</si>
  <si>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</si>
  <si>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</si>
  <si>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</si>
  <si>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</si>
  <si>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</si>
  <si>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</si>
  <si>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</si>
  <si>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</si>
  <si>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</si>
  <si>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</si>
  <si>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</si>
  <si>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</si>
  <si>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</si>
  <si>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</si>
  <si>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</si>
  <si>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</si>
  <si>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</si>
  <si>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</si>
  <si>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</si>
  <si>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</si>
  <si>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</si>
  <si>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</si>
  <si>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</si>
  <si>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</si>
  <si>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</si>
  <si>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</si>
  <si>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</si>
  <si>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</si>
  <si>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</si>
  <si>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</si>
  <si>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</si>
  <si>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</si>
  <si>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</si>
  <si>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</si>
  <si>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</si>
  <si>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</si>
  <si>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</si>
  <si>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</si>
  <si>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</si>
  <si>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</si>
  <si>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</si>
  <si>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</si>
  <si>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</si>
  <si>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</si>
  <si>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</si>
  <si>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</si>
  <si>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</si>
  <si>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</si>
  <si>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</si>
  <si>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</si>
  <si>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</si>
  <si>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</si>
  <si>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</si>
  <si>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</si>
  <si>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</si>
  <si>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</si>
  <si>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</si>
  <si>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</si>
  <si>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</si>
  <si>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</si>
  <si>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</si>
  <si>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</si>
  <si>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</si>
  <si>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</si>
  <si>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</si>
  <si>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</si>
  <si>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</si>
  <si>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</si>
  <si>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</si>
  <si>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</si>
  <si>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</si>
  <si>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</si>
  <si>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</si>
  <si>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</si>
  <si>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</si>
  <si>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</si>
  <si>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</si>
  <si>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</si>
  <si>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</si>
  <si>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</si>
  <si>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</si>
  <si>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</si>
  <si>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</si>
  <si>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</si>
  <si>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</si>
  <si>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</si>
  <si>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</si>
  <si>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</si>
  <si>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</si>
  <si>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</si>
  <si>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</si>
  <si>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</si>
  <si>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</si>
  <si>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</si>
  <si>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</si>
  <si>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</si>
  <si>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</si>
  <si>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</si>
  <si>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</si>
  <si>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</si>
  <si>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</si>
  <si>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</si>
  <si>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</si>
  <si>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</si>
  <si>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</si>
  <si>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</si>
  <si>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</si>
  <si>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</si>
  <si>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</si>
  <si>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</si>
  <si>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</si>
  <si>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</si>
  <si>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</si>
  <si>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</si>
  <si>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</si>
  <si>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</si>
  <si>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</si>
  <si>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</si>
  <si>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</si>
  <si>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</si>
  <si>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</si>
  <si>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</si>
  <si>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</si>
  <si>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</si>
  <si>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</si>
  <si>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</si>
  <si>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</si>
  <si>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</si>
  <si>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</si>
  <si>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</si>
  <si>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</si>
  <si>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</si>
  <si>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</si>
  <si>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</si>
  <si>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</si>
  <si>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</si>
  <si>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</si>
  <si>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</si>
  <si>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</si>
  <si>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</si>
  <si>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</si>
  <si>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</si>
  <si>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</si>
  <si>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</si>
  <si>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</si>
  <si>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</si>
  <si>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</si>
  <si>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</si>
  <si>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</si>
  <si>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</si>
  <si>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</si>
  <si>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</si>
  <si>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</si>
  <si>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</si>
  <si>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</si>
  <si>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</si>
  <si>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</si>
  <si>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</si>
  <si>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</si>
  <si>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</si>
  <si>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</si>
  <si>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</si>
  <si>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</si>
  <si>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</si>
  <si>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</si>
  <si>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</si>
  <si>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</si>
  <si>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</si>
  <si>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</si>
  <si>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</si>
  <si>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</si>
  <si>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</si>
  <si>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</si>
  <si>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</si>
  <si>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</si>
  <si>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</si>
  <si>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</si>
  <si>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</si>
  <si>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</si>
  <si>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</si>
  <si>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</si>
  <si>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</si>
  <si>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</si>
  <si>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</si>
  <si>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</si>
  <si>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</si>
  <si>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</si>
  <si>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</si>
  <si>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</si>
  <si>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</si>
  <si>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</si>
  <si>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</si>
  <si>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</si>
  <si>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</si>
  <si>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</si>
  <si>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</si>
  <si>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</si>
  <si>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</si>
  <si>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</si>
  <si>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</si>
  <si>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</si>
  <si>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</si>
  <si>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</si>
  <si>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</si>
  <si>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</si>
  <si>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</si>
  <si>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</si>
  <si>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</si>
  <si>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</si>
  <si>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</si>
  <si>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</si>
  <si>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</si>
  <si>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</si>
  <si>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</si>
  <si>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</si>
  <si>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</si>
  <si>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</si>
  <si>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</si>
  <si>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</si>
  <si>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</si>
  <si>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</si>
  <si>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</si>
  <si>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</si>
  <si>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</si>
  <si>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</si>
  <si>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</si>
  <si>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</si>
  <si>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</si>
  <si>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</si>
  <si>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</si>
  <si>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</si>
  <si>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</si>
  <si>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</si>
  <si>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</si>
  <si>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</si>
  <si>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</si>
  <si>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</si>
  <si>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</si>
  <si>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</si>
  <si>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</si>
  <si>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</si>
  <si>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</si>
  <si>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</si>
  <si>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</si>
  <si>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</si>
  <si>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</si>
  <si>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</si>
  <si>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</si>
  <si>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</si>
  <si>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</si>
  <si>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</si>
  <si>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</si>
  <si>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</si>
  <si>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</si>
  <si>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</si>
  <si>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</si>
  <si>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</si>
  <si>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</si>
  <si>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</si>
  <si>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</si>
  <si>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</si>
  <si>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</si>
  <si>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</si>
  <si>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</si>
  <si>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</si>
  <si>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</si>
  <si>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</si>
  <si>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</si>
  <si>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</si>
  <si>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</si>
  <si>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</si>
  <si>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</si>
  <si>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</si>
  <si>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</si>
  <si>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</si>
  <si>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</si>
  <si>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</si>
  <si>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</si>
  <si>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</si>
  <si>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</si>
  <si>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</si>
  <si>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</si>
  <si>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</si>
  <si>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</si>
  <si>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</si>
  <si>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</si>
  <si>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</si>
  <si>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</si>
  <si>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</si>
  <si>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</si>
  <si>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</si>
  <si>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</si>
  <si>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</si>
  <si>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</si>
  <si>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</si>
  <si>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</si>
  <si>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</si>
  <si>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</si>
  <si>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</si>
  <si>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</si>
  <si>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</si>
  <si>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</si>
  <si>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</si>
  <si>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</si>
  <si>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</si>
  <si>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</si>
  <si>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</si>
  <si>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</si>
  <si>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</si>
  <si>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</si>
  <si>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</si>
  <si>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</si>
  <si>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</si>
  <si>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</si>
  <si>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</si>
  <si>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</si>
  <si>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</si>
  <si>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</si>
  <si>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</si>
  <si>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</si>
  <si>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</si>
  <si>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</si>
  <si>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</si>
  <si>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</si>
  <si>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</si>
  <si>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</si>
  <si>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</si>
  <si>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</si>
  <si>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</si>
  <si>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</si>
  <si>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</si>
  <si>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</si>
  <si>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</si>
  <si>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</si>
  <si>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</si>
  <si>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</si>
  <si>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</si>
  <si>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</si>
  <si>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</si>
  <si>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</si>
  <si>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</si>
  <si>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</si>
  <si>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</si>
  <si>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</si>
  <si>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</si>
  <si>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</si>
  <si>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</si>
  <si>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</si>
  <si>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</si>
  <si>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</si>
  <si>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</si>
  <si>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</si>
  <si>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</si>
  <si>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</si>
  <si>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</si>
  <si>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</si>
  <si>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</si>
  <si>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</si>
  <si>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</si>
  <si>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</si>
  <si>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</si>
  <si>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</si>
  <si>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</si>
  <si>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</si>
  <si>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</si>
  <si>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</si>
  <si>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</si>
  <si>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</si>
  <si>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</si>
  <si>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</si>
  <si>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</si>
  <si>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</si>
  <si>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</si>
  <si>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</si>
  <si>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</si>
  <si>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</si>
  <si>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</si>
  <si>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</si>
  <si>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</si>
  <si>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</si>
  <si>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</si>
  <si>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</si>
  <si>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</si>
  <si>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</si>
  <si>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</si>
  <si>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</si>
  <si>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</si>
  <si>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</si>
  <si>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</si>
  <si>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</si>
  <si>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</si>
  <si>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</si>
  <si>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</si>
  <si>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</si>
  <si>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</si>
  <si>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</si>
  <si>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</si>
  <si>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</si>
  <si>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</si>
  <si>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</si>
  <si>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</si>
  <si>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</si>
  <si>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</si>
  <si>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</si>
  <si>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</si>
  <si>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</si>
  <si>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</si>
  <si>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</si>
  <si>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</si>
  <si>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</si>
  <si>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</si>
  <si>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</si>
  <si>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</si>
  <si>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</si>
  <si>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</si>
  <si>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</si>
  <si>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</si>
  <si>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</si>
  <si>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</si>
  <si>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</si>
  <si>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</si>
  <si>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</si>
  <si>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</si>
  <si>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</si>
  <si>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</si>
  <si>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</si>
  <si>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</si>
  <si>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</si>
  <si>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</si>
  <si>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</si>
  <si>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</si>
  <si>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</si>
  <si>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</si>
  <si>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</si>
  <si>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</si>
  <si>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</si>
  <si>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</si>
  <si>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</si>
  <si>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</si>
  <si>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</si>
  <si>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</si>
  <si>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</si>
  <si>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</si>
  <si>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</si>
  <si>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</si>
  <si>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</si>
  <si>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</si>
  <si>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</si>
  <si>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</si>
  <si>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</si>
  <si>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</si>
  <si>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</si>
  <si>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</si>
  <si>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</si>
  <si>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</si>
  <si>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</si>
  <si>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</si>
  <si>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</si>
  <si>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</si>
  <si>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</si>
  <si>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</si>
  <si>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</si>
  <si>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</si>
  <si>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</si>
  <si>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</si>
  <si>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</si>
  <si>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</si>
  <si>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</si>
  <si>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</si>
  <si>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</si>
  <si>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</si>
  <si>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</si>
  <si>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</si>
  <si>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</si>
  <si>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</si>
  <si>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</si>
  <si>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</si>
  <si>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</si>
  <si>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</si>
  <si>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</si>
  <si>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</si>
  <si>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</si>
  <si>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</si>
  <si>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</si>
  <si>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</si>
  <si>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</si>
  <si>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</si>
  <si>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</si>
  <si>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</si>
  <si>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</si>
  <si>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</si>
  <si>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</si>
  <si>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</si>
  <si>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</si>
  <si>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</si>
  <si>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</si>
  <si>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</si>
  <si>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</si>
  <si>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</si>
  <si>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</si>
  <si>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</si>
  <si>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</si>
  <si>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</si>
  <si>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</si>
  <si>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</si>
  <si>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</si>
  <si>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</si>
  <si>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</si>
  <si>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</si>
  <si>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</si>
  <si>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</si>
  <si>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</si>
  <si>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</si>
  <si>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</si>
  <si>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</si>
  <si>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</si>
  <si>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</si>
  <si>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</si>
  <si>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</si>
  <si>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</si>
  <si>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</si>
  <si>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</si>
  <si>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</si>
  <si>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</si>
  <si>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</si>
  <si>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</si>
  <si>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</si>
  <si>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</si>
  <si>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</si>
  <si>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</si>
  <si>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</si>
  <si>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</si>
  <si>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</si>
  <si>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</si>
  <si>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</si>
  <si>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</si>
  <si>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</si>
  <si>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</si>
  <si>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</si>
  <si>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</si>
  <si>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</si>
  <si>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</si>
  <si>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</si>
  <si>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</si>
  <si>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</si>
  <si>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</si>
  <si>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</si>
  <si>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</si>
  <si>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</si>
  <si>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</si>
  <si>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</si>
  <si>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</si>
  <si>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</si>
  <si>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</si>
  <si>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</si>
  <si>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</si>
  <si>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</si>
  <si>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</si>
  <si>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</si>
  <si>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</si>
  <si>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</si>
  <si>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</si>
  <si>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</si>
  <si>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</si>
  <si>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</si>
  <si>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</si>
  <si>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</si>
  <si>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</si>
  <si>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</si>
  <si>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</si>
  <si>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</si>
  <si>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</si>
  <si>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</si>
  <si>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</si>
  <si>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</si>
  <si>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</si>
  <si>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</si>
  <si>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</si>
  <si>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</si>
  <si>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</si>
  <si>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</si>
  <si>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</si>
  <si>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</si>
  <si>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</si>
  <si>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</si>
  <si>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</si>
  <si>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</si>
  <si>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</si>
  <si>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</si>
  <si>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</si>
  <si>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</si>
  <si>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</si>
  <si>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</si>
  <si>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</si>
  <si>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</si>
  <si>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</si>
  <si>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</si>
  <si>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</si>
  <si>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</si>
  <si>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</si>
  <si>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</si>
  <si>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</si>
  <si>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</si>
  <si>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</si>
  <si>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</si>
  <si>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</si>
  <si>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</si>
  <si>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</si>
  <si>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</si>
  <si>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</si>
  <si>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</si>
  <si>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</si>
  <si>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</si>
  <si>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</si>
  <si>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</si>
  <si>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</si>
  <si>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</si>
  <si>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</si>
  <si>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</si>
  <si>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</si>
  <si>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</si>
  <si>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</si>
  <si>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</si>
  <si>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</si>
  <si>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</si>
  <si>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</si>
  <si>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</si>
  <si>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</si>
  <si>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</si>
  <si>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</si>
  <si>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</si>
  <si>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</si>
  <si>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</si>
  <si>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</si>
  <si>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</si>
  <si>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</si>
  <si>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</si>
  <si>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</si>
  <si>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</si>
  <si>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</si>
  <si>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</si>
  <si>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</si>
  <si>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</si>
  <si>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</si>
  <si>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</si>
  <si>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</si>
  <si>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</si>
  <si>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</si>
  <si>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</si>
  <si>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</si>
  <si>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</si>
  <si>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</si>
  <si>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</si>
  <si>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</si>
  <si>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</si>
  <si>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</si>
  <si>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</si>
  <si>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</si>
  <si>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</si>
  <si>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</si>
  <si>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</si>
  <si>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</si>
  <si>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</si>
  <si>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</si>
  <si>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</si>
  <si>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</si>
  <si>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</si>
  <si>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</si>
  <si>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</si>
  <si>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</si>
  <si>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</si>
  <si>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</si>
  <si>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</si>
  <si>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</si>
  <si>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</si>
  <si>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</si>
  <si>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</si>
  <si>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</si>
  <si>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</si>
  <si>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</si>
  <si>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</si>
  <si>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</si>
  <si>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</si>
  <si>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</si>
  <si>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</si>
  <si>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</si>
  <si>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</si>
  <si>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</si>
  <si>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</si>
  <si>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</si>
  <si>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</si>
  <si>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</si>
  <si>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</si>
  <si>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</si>
  <si>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</si>
  <si>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</si>
  <si>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</si>
  <si>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</si>
  <si>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</si>
  <si>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</si>
  <si>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</si>
  <si>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</si>
  <si>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</si>
  <si>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</si>
  <si>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</si>
  <si>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</si>
  <si>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</si>
  <si>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</si>
  <si>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</si>
  <si>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</si>
  <si>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</si>
  <si>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</si>
  <si>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</si>
  <si>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</si>
  <si>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</si>
  <si>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</si>
  <si>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</si>
  <si>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</si>
  <si>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</si>
  <si>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</si>
  <si>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</si>
  <si>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</si>
  <si>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</si>
  <si>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</si>
  <si>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</si>
  <si>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</si>
  <si>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</si>
  <si>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</si>
  <si>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</si>
  <si>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</si>
  <si>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</si>
  <si>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</si>
  <si>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</si>
  <si>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</si>
  <si>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</si>
  <si>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</si>
  <si>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</si>
  <si>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</si>
  <si>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</si>
  <si>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</si>
  <si>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</si>
  <si>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</si>
  <si>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</si>
  <si>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</si>
  <si>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</si>
  <si>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</si>
  <si>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</si>
  <si>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</si>
  <si>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</si>
  <si>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</si>
  <si>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</si>
  <si>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</si>
  <si>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</si>
  <si>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</si>
  <si>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</si>
  <si>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</si>
  <si>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</si>
  <si>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</si>
  <si>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</si>
  <si>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</si>
  <si>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</si>
  <si>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</si>
  <si>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</si>
  <si>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</si>
  <si>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</si>
  <si>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</si>
  <si>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</si>
  <si>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</si>
  <si>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</si>
  <si>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</si>
  <si>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</si>
  <si>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</si>
  <si>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</si>
  <si>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</si>
  <si>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</si>
  <si>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</si>
  <si>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</si>
  <si>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</si>
  <si>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</si>
  <si>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</si>
  <si>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</si>
  <si>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</si>
  <si>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</si>
  <si>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</si>
  <si>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</si>
  <si>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</si>
  <si>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</si>
  <si>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</si>
  <si>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</si>
  <si>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</si>
  <si>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</si>
  <si>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</si>
  <si>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</si>
  <si>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</si>
  <si>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</si>
  <si>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</si>
  <si>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</si>
  <si>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</si>
  <si>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</si>
  <si>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</si>
  <si>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</si>
  <si>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</si>
  <si>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</si>
  <si>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</si>
  <si>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</si>
  <si>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</si>
  <si>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</si>
  <si>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</si>
  <si>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</si>
  <si>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</si>
  <si>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</si>
  <si>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</si>
  <si>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</si>
  <si>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</si>
  <si>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</si>
  <si>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</si>
  <si>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</si>
  <si>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</si>
  <si>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</si>
  <si>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</si>
  <si>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</si>
  <si>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</si>
  <si>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</si>
  <si>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</si>
  <si>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</si>
  <si>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</si>
  <si>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</si>
  <si>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</si>
  <si>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</si>
  <si>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</si>
  <si>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</si>
  <si>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</si>
  <si>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</si>
  <si>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</si>
  <si>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</si>
  <si>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</si>
  <si>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</si>
  <si>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</si>
  <si>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</si>
  <si>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</si>
  <si>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</si>
  <si>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</si>
  <si>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</si>
  <si>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</si>
  <si>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</si>
  <si>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</si>
  <si>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</si>
  <si>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</si>
  <si>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</si>
  <si>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</si>
  <si>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</si>
  <si>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</si>
  <si>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</si>
  <si>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</si>
  <si>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</si>
  <si>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</si>
  <si>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</si>
  <si>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</si>
  <si>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</si>
  <si>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</si>
  <si>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</si>
  <si>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</si>
  <si>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</si>
  <si>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</si>
  <si>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</si>
  <si>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</si>
  <si>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</si>
  <si>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</si>
  <si>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</si>
  <si>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</si>
  <si>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</si>
  <si>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</si>
  <si>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</si>
  <si>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</si>
  <si>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</si>
  <si>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</si>
  <si>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</si>
  <si>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</si>
  <si>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</si>
  <si>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</si>
  <si>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</si>
  <si>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</si>
  <si>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</si>
  <si>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</si>
  <si>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</si>
  <si>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</si>
  <si>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</si>
  <si>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</si>
  <si>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</si>
  <si>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</si>
  <si>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</si>
  <si>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</si>
  <si>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</si>
  <si>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</si>
  <si>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</si>
  <si>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</si>
  <si>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</si>
  <si>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</si>
  <si>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</si>
  <si>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</si>
  <si>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</si>
  <si>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</si>
  <si>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</si>
  <si>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</si>
  <si>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</si>
  <si>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</si>
  <si>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</si>
  <si>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</si>
  <si>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</si>
  <si>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</si>
  <si>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</si>
  <si>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</si>
  <si>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</si>
  <si>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</si>
  <si>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</si>
  <si>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</si>
  <si>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</si>
  <si>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</si>
  <si>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</si>
  <si>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</si>
  <si>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</si>
  <si>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</si>
  <si>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</si>
  <si>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</si>
  <si>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</si>
  <si>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</si>
  <si>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</si>
  <si>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</si>
  <si>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</si>
  <si>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</si>
  <si>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</si>
  <si>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</si>
  <si>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</si>
  <si>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</si>
  <si>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</si>
  <si>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</si>
  <si>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</si>
  <si>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</si>
  <si>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</si>
  <si>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</si>
  <si>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</si>
  <si>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</si>
  <si>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</si>
  <si>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</si>
  <si>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</si>
  <si>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</si>
  <si>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</si>
  <si>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</si>
  <si>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</si>
  <si>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</si>
  <si>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</si>
  <si>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</si>
  <si>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</si>
  <si>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</si>
  <si>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</si>
  <si>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</si>
  <si>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</si>
  <si>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</si>
  <si>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</si>
  <si>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</si>
  <si>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</si>
  <si>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</si>
  <si>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</si>
  <si>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</si>
  <si>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</si>
  <si>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</si>
  <si>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</si>
  <si>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</si>
  <si>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</si>
  <si>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</si>
  <si>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</si>
  <si>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</si>
  <si>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</si>
  <si>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</si>
  <si>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</si>
  <si>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</si>
  <si>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</si>
  <si>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</si>
  <si>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</si>
  <si>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</si>
  <si>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</si>
  <si>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</si>
  <si>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</si>
  <si>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</si>
  <si>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</si>
  <si>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</si>
  <si>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</si>
  <si>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</si>
  <si>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</si>
  <si>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</si>
  <si>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</si>
  <si>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</si>
  <si>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</si>
  <si>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</si>
  <si>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</si>
  <si>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</si>
  <si>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</si>
  <si>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</si>
  <si>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</si>
  <si>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</si>
  <si>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</si>
  <si>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</si>
  <si>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</si>
  <si>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</si>
  <si>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</si>
  <si>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</si>
  <si>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</si>
  <si>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</si>
  <si>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</si>
  <si>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</si>
  <si>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</si>
  <si>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</si>
  <si>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</si>
  <si>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</si>
  <si>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</si>
  <si>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</si>
  <si>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</si>
  <si>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</si>
  <si>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</si>
  <si>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</si>
  <si>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</si>
  <si>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</si>
  <si>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</si>
  <si>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</si>
  <si>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</si>
  <si>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</si>
  <si>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</si>
  <si>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</si>
  <si>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</si>
  <si>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</si>
  <si>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</si>
  <si>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</si>
  <si>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</si>
  <si>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</si>
  <si>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</si>
  <si>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</si>
  <si>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</si>
  <si>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</si>
  <si>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</si>
  <si>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</si>
  <si>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</si>
  <si>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</si>
  <si>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</si>
  <si>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</si>
  <si>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</si>
  <si>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</si>
  <si>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</si>
  <si>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</si>
  <si>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</si>
  <si>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</si>
  <si>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</si>
  <si>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</si>
  <si>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</si>
  <si>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</si>
  <si>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</si>
  <si>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</si>
  <si>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</si>
  <si>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</si>
  <si>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</si>
  <si>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</si>
  <si>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</si>
  <si>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</si>
  <si>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</si>
  <si>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</si>
  <si>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</si>
  <si>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</si>
  <si>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</si>
  <si>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</si>
  <si>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</si>
  <si>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</si>
  <si>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</si>
  <si>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</si>
  <si>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</si>
  <si>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</si>
  <si>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</si>
  <si>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</si>
  <si>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</si>
  <si>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</si>
  <si>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</si>
  <si>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</si>
  <si>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</si>
  <si>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</si>
  <si>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</si>
  <si>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</si>
  <si>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</si>
  <si>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</si>
  <si>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</si>
  <si>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</si>
  <si>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</si>
  <si>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</si>
  <si>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</si>
  <si>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</si>
  <si>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</si>
  <si>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</si>
  <si>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</si>
  <si>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</si>
  <si>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</si>
  <si>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</si>
  <si>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</si>
  <si>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</si>
  <si>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</si>
  <si>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</si>
  <si>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</si>
  <si>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</si>
  <si>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</si>
  <si>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</si>
  <si>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</si>
  <si>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</si>
  <si>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</si>
  <si>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</si>
  <si>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</si>
  <si>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</si>
  <si>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</si>
  <si>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</si>
  <si>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</si>
  <si>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</si>
  <si>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</si>
  <si>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</si>
  <si>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</si>
  <si>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</si>
  <si>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</si>
  <si>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</si>
  <si>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</si>
  <si>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</si>
  <si>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</si>
  <si>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</si>
  <si>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</si>
  <si>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</si>
  <si>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</si>
  <si>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</si>
  <si>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</si>
  <si>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</si>
  <si>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</si>
  <si>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</si>
  <si>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</si>
  <si>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</si>
  <si>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</si>
  <si>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</si>
  <si>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</si>
  <si>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</si>
  <si>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</si>
  <si>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</si>
  <si>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</si>
  <si>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</si>
  <si>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</si>
  <si>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</si>
  <si>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</si>
  <si>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</si>
  <si>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</si>
  <si>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</si>
  <si>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</si>
  <si>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</si>
  <si>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</si>
  <si>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</si>
  <si>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</si>
  <si>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</si>
  <si>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</si>
  <si>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</si>
  <si>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</si>
  <si>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</si>
  <si>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</si>
  <si>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</si>
  <si>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</si>
  <si>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</si>
  <si>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</si>
  <si>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</si>
  <si>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</si>
  <si>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</si>
  <si>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</si>
  <si>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</si>
  <si>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</si>
  <si>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</si>
  <si>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</si>
  <si>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</si>
  <si>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</si>
  <si>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</si>
  <si>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</si>
  <si>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</si>
  <si>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</si>
  <si>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</si>
  <si>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</si>
  <si>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</si>
  <si>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</si>
  <si>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</si>
  <si>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</si>
  <si>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</si>
  <si>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</si>
  <si>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</si>
  <si>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</si>
  <si>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</si>
  <si>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</si>
  <si>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</si>
  <si>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</si>
  <si>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</si>
  <si>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</si>
  <si>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</si>
  <si>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</si>
  <si>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</si>
  <si>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</si>
  <si>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</si>
  <si>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</si>
  <si>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</si>
  <si>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</si>
  <si>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</si>
  <si>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</si>
  <si>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</si>
  <si>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</si>
  <si>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</si>
  <si>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</si>
  <si>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</si>
  <si>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</si>
  <si>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</si>
  <si>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</si>
  <si>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</si>
  <si>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</si>
  <si>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</si>
  <si>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</si>
  <si>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</si>
  <si>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</si>
  <si>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</si>
  <si>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</si>
  <si>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</si>
  <si>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</si>
  <si>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</si>
  <si>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</si>
  <si>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</si>
  <si>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</si>
  <si>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</si>
  <si>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</si>
  <si>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</si>
  <si>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</si>
  <si>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</si>
  <si>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</si>
  <si>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</si>
  <si>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</si>
  <si>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</si>
  <si>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</si>
  <si>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</si>
  <si>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</si>
  <si>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</si>
  <si>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</si>
  <si>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</si>
  <si>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</si>
  <si>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</si>
  <si>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</si>
  <si>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</si>
  <si>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</si>
  <si>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</si>
  <si>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</si>
  <si>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</si>
  <si>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</si>
  <si>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</si>
  <si>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</si>
  <si>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</si>
  <si>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</si>
  <si>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</si>
  <si>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</si>
  <si>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</si>
  <si>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</si>
  <si>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</si>
  <si>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</si>
  <si>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</si>
  <si>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</si>
  <si>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</si>
  <si>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</si>
  <si>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</si>
  <si>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</si>
  <si>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</si>
  <si>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</si>
  <si>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</si>
  <si>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</si>
  <si>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</si>
  <si>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</si>
  <si>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</si>
  <si>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</si>
  <si>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</si>
  <si>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</si>
  <si>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</si>
  <si>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</si>
  <si>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</si>
  <si>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</si>
  <si>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</si>
  <si>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</si>
  <si>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</si>
  <si>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</si>
  <si>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</si>
  <si>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</si>
  <si>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</si>
  <si>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</si>
  <si>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</si>
  <si>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</si>
  <si>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</si>
  <si>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</si>
  <si>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</si>
  <si>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</si>
  <si>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</si>
  <si>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</si>
  <si>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</si>
  <si>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</si>
  <si>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</si>
  <si>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</si>
  <si>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</si>
  <si>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</si>
  <si>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</si>
  <si>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</si>
  <si>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</si>
  <si>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</si>
  <si>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</si>
  <si>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</si>
  <si>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</si>
  <si>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</si>
  <si>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</si>
  <si>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</si>
  <si>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</si>
  <si>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</si>
  <si>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</si>
  <si>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</si>
  <si>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</si>
  <si>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</si>
  <si>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</si>
  <si>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</si>
  <si>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</si>
  <si>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</si>
  <si>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</si>
  <si>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</si>
  <si>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</si>
  <si>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</si>
  <si>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</si>
  <si>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</si>
  <si>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</si>
  <si>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</si>
  <si>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</si>
  <si>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</si>
  <si>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</si>
  <si>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</si>
  <si>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</si>
  <si>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</si>
  <si>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</si>
  <si>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</si>
  <si>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</si>
  <si>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</si>
  <si>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</si>
  <si>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</si>
  <si>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</si>
  <si>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</si>
  <si>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</si>
  <si>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</si>
  <si>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</si>
  <si>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</si>
  <si>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</si>
  <si>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</si>
  <si>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</si>
  <si>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</si>
  <si>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</si>
  <si>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</si>
  <si>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</si>
  <si>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</si>
  <si>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</si>
  <si>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</si>
  <si>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</si>
  <si>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</si>
  <si>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</si>
  <si>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</si>
  <si>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</si>
  <si>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</si>
  <si>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</si>
  <si>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</si>
  <si>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</si>
  <si>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</si>
  <si>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</si>
  <si>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</si>
  <si>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</si>
  <si>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</si>
  <si>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</si>
  <si>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</si>
  <si>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</si>
  <si>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</si>
  <si>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</si>
  <si>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</si>
  <si>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</si>
  <si>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</si>
  <si>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</si>
  <si>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</si>
  <si>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</si>
  <si>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</si>
  <si>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</si>
  <si>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</si>
  <si>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</si>
  <si>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</si>
  <si>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</si>
  <si>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</si>
  <si>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</si>
  <si>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</si>
  <si>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</si>
  <si>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</si>
  <si>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</si>
  <si>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</si>
  <si>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</si>
  <si>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</si>
  <si>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</si>
  <si>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</si>
  <si>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</si>
  <si>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</si>
  <si>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</si>
  <si>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</si>
  <si>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</si>
  <si>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</si>
  <si>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</si>
  <si>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</si>
  <si>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</si>
  <si>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</si>
  <si>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</si>
  <si>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</si>
  <si>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</si>
  <si>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</si>
  <si>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</si>
  <si>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</si>
  <si>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</si>
  <si>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</si>
  <si>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</si>
  <si>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</si>
  <si>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</si>
  <si>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</si>
  <si>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</si>
  <si>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</si>
  <si>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</si>
  <si>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</si>
  <si>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</si>
  <si>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</si>
  <si>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</si>
  <si>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</si>
  <si>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</si>
  <si>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</si>
  <si>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</si>
  <si>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</si>
  <si>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</si>
  <si>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</si>
  <si>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</si>
  <si>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</si>
  <si>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</si>
  <si>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</si>
  <si>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</si>
  <si>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</si>
  <si>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</si>
  <si>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</si>
  <si>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</si>
  <si>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</si>
  <si>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</si>
  <si>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</si>
  <si>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</si>
  <si>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</si>
  <si>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</si>
  <si>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</si>
  <si>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</si>
  <si>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</si>
  <si>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</si>
  <si>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</si>
  <si>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</si>
  <si>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</si>
  <si>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</si>
  <si>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</si>
  <si>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</si>
  <si>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</si>
  <si>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</si>
  <si>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</si>
  <si>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</si>
  <si>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</si>
  <si>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</si>
  <si>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</si>
  <si>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</si>
  <si>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</si>
  <si>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</si>
  <si>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</si>
  <si>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</si>
  <si>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</si>
  <si>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</si>
  <si>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</si>
  <si>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</si>
  <si>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</si>
  <si>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</si>
  <si>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</si>
  <si>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</si>
  <si>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</si>
  <si>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</si>
  <si>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</si>
  <si>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</si>
  <si>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</si>
  <si>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</si>
  <si>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</si>
  <si>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</si>
  <si>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</si>
  <si>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</si>
  <si>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</si>
  <si>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</si>
  <si>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</si>
  <si>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</si>
  <si>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</si>
  <si>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</si>
  <si>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</si>
  <si>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</si>
  <si>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</si>
  <si>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</si>
  <si>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</si>
  <si>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</si>
  <si>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</si>
  <si>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</si>
  <si>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</si>
  <si>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</si>
  <si>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</si>
  <si>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</si>
  <si>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</si>
  <si>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</si>
  <si>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</si>
  <si>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</si>
  <si>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</si>
  <si>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</si>
  <si>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</si>
  <si>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</si>
  <si>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</si>
  <si>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</si>
  <si>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</si>
  <si>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</si>
  <si>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</si>
  <si>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</si>
  <si>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</si>
  <si>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</si>
  <si>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</si>
  <si>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</si>
  <si>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</si>
  <si>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</si>
  <si>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</si>
  <si>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</si>
  <si>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</si>
  <si>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</si>
  <si>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</si>
  <si>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</si>
  <si>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</si>
  <si>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</si>
  <si>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</si>
  <si>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</si>
  <si>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</si>
  <si>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</si>
  <si>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</si>
  <si>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</si>
  <si>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</si>
  <si>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</si>
  <si>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</si>
  <si>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</si>
  <si>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</si>
  <si>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</si>
  <si>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</si>
  <si>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</si>
  <si>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</si>
  <si>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</si>
  <si>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</si>
  <si>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</si>
  <si>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</si>
  <si>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</si>
  <si>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</si>
  <si>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</si>
  <si>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</si>
  <si>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</si>
  <si>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</si>
  <si>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</si>
  <si>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</si>
  <si>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</si>
  <si>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</si>
  <si>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</si>
  <si>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</si>
  <si>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</si>
  <si>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</si>
  <si>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</si>
  <si>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</si>
  <si>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</si>
  <si>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</si>
  <si>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</si>
  <si>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</si>
  <si>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</si>
  <si>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</si>
  <si>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</si>
  <si>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</si>
  <si>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</si>
  <si>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</si>
  <si>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</si>
  <si>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</si>
  <si>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</si>
  <si>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</si>
  <si>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</si>
  <si>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</si>
  <si>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</si>
  <si>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</si>
  <si>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</si>
  <si>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</si>
  <si>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</si>
  <si>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</si>
  <si>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</si>
  <si>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</si>
  <si>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</si>
  <si>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</si>
  <si>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</si>
  <si>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</si>
  <si>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</si>
  <si>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</si>
  <si>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</si>
  <si>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</si>
  <si>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</si>
  <si>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</si>
  <si>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</si>
  <si>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</si>
  <si>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</si>
  <si>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</si>
  <si>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</si>
  <si>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</si>
  <si>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</si>
  <si>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</si>
  <si>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</si>
  <si>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</si>
  <si>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</si>
  <si>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</si>
  <si>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</si>
  <si>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</si>
  <si>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</si>
  <si>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</si>
  <si>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</si>
  <si>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</si>
  <si>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</si>
  <si>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</si>
  <si>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</si>
  <si>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</si>
  <si>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</si>
  <si>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</si>
  <si>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</si>
  <si>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</si>
  <si>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</si>
  <si>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</si>
  <si>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</si>
  <si>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</si>
  <si>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</si>
  <si>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</si>
  <si>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</si>
  <si>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</si>
  <si>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</si>
  <si>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</si>
  <si>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</si>
  <si>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</si>
  <si>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</si>
  <si>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</si>
  <si>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</si>
  <si>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</si>
  <si>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</si>
  <si>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</si>
  <si>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</si>
  <si>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</si>
  <si>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</si>
  <si>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</si>
  <si>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</si>
  <si>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</si>
  <si>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</si>
  <si>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</si>
  <si>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</si>
  <si>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</si>
  <si>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</si>
  <si>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</si>
  <si>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</si>
  <si>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</si>
  <si>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</si>
  <si>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</si>
  <si>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</si>
  <si>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</si>
  <si>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</si>
  <si>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</si>
  <si>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</si>
  <si>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</si>
  <si>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</si>
  <si>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</si>
  <si>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</si>
  <si>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</si>
  <si>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</si>
  <si>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</si>
  <si>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</si>
  <si>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</si>
  <si>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</si>
  <si>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</si>
  <si>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</si>
  <si>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</si>
  <si>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</si>
  <si>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</si>
  <si>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</si>
  <si>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</si>
  <si>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</si>
  <si>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</si>
  <si>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</si>
  <si>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</si>
  <si>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</si>
  <si>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</si>
  <si>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</si>
  <si>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</si>
  <si>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</si>
  <si>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</si>
  <si>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</si>
  <si>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</si>
  <si>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</si>
  <si>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</si>
  <si>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</si>
  <si>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</si>
  <si>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</si>
  <si>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</si>
  <si>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</si>
  <si>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</si>
  <si>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</si>
  <si>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</si>
  <si>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</si>
  <si>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</si>
  <si>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</si>
  <si>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</si>
  <si>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</si>
  <si>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</si>
  <si>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</si>
  <si>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</si>
  <si>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</si>
  <si>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</si>
  <si>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</si>
  <si>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</si>
  <si>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</si>
  <si>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</si>
  <si>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</si>
  <si>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</si>
  <si>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</si>
  <si>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</si>
  <si>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</si>
  <si>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</si>
  <si>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</si>
  <si>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</si>
  <si>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</si>
  <si>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</si>
  <si>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</si>
  <si>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</si>
  <si>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</si>
  <si>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</si>
  <si>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</si>
  <si>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</si>
  <si>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</si>
  <si>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</si>
  <si>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</si>
  <si>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</si>
  <si>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</si>
  <si>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</si>
  <si>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</si>
  <si>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</si>
  <si>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</si>
  <si>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</si>
  <si>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</si>
  <si>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</si>
  <si>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</si>
  <si>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</si>
  <si>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</si>
  <si>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</si>
  <si>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</si>
  <si>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</si>
  <si>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</si>
  <si>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</si>
  <si>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</si>
  <si>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</si>
  <si>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</si>
  <si>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</si>
  <si>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</si>
  <si>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</si>
  <si>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</si>
  <si>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</si>
  <si>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</si>
  <si>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</si>
  <si>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</si>
  <si>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</si>
  <si>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</si>
  <si>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</si>
  <si>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</si>
  <si>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</si>
  <si>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</si>
  <si>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</si>
  <si>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</si>
  <si>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</si>
  <si>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</si>
  <si>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</si>
  <si>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</si>
  <si>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</si>
  <si>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</si>
  <si>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</si>
  <si>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</si>
  <si>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</si>
  <si>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</si>
  <si>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</si>
  <si>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</si>
  <si>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</si>
  <si>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</si>
  <si>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</si>
  <si>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</si>
  <si>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</si>
  <si>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</si>
  <si>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</si>
  <si>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</si>
  <si>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</si>
  <si>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</si>
  <si>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</si>
  <si>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</si>
  <si>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</si>
  <si>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</si>
  <si>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</si>
  <si>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</si>
  <si>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</si>
  <si>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</si>
  <si>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</si>
  <si>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</si>
  <si>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</si>
  <si>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</si>
  <si>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</si>
  <si>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</si>
  <si>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</si>
  <si>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</si>
  <si>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</si>
  <si>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</si>
  <si>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</si>
  <si>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</si>
  <si>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</si>
  <si>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</si>
  <si>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</si>
  <si>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</si>
  <si>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</si>
  <si>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</si>
  <si>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</si>
  <si>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</si>
  <si>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</si>
  <si>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</si>
  <si>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</si>
  <si>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</si>
  <si>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</si>
  <si>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</si>
  <si>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</si>
  <si>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</si>
  <si>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</si>
  <si>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</si>
  <si>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</si>
  <si>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</si>
  <si>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</si>
  <si>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</si>
  <si>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</si>
  <si>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</si>
  <si>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</si>
  <si>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</si>
  <si>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</si>
  <si>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</si>
  <si>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</si>
  <si>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</si>
  <si>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</si>
  <si>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</si>
  <si>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</si>
  <si>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</si>
  <si>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</si>
  <si>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</si>
  <si>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</si>
  <si>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</si>
  <si>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</si>
  <si>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</si>
  <si>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</si>
  <si>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</si>
  <si>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</si>
  <si>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</si>
  <si>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</si>
  <si>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</si>
  <si>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</si>
  <si>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</si>
  <si>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</si>
  <si>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</si>
  <si>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</si>
  <si>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</si>
  <si>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</si>
  <si>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</si>
  <si>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</si>
  <si>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</si>
  <si>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</si>
  <si>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</si>
  <si>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</si>
  <si>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</si>
  <si>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</si>
  <si>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</si>
  <si>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</si>
  <si>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</si>
  <si>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</si>
  <si>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</si>
  <si>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</si>
  <si>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</si>
  <si>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</si>
  <si>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</si>
  <si>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</si>
  <si>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</si>
  <si>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</si>
  <si>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</si>
  <si>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</si>
  <si>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</si>
  <si>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</si>
  <si>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</si>
  <si>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</si>
  <si>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</si>
  <si>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</si>
  <si>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</si>
  <si>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</si>
  <si>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</si>
  <si>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</si>
  <si>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</si>
  <si>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</si>
  <si>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</si>
  <si>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</si>
  <si>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</si>
  <si>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</si>
  <si>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</si>
  <si>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</si>
  <si>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</si>
  <si>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El Camino Real Multifamily </t>
  </si>
  <si>
    <t>City of Palo Alto</t>
  </si>
  <si>
    <t>Mark J. Mikl</t>
  </si>
  <si>
    <t>Executive Director</t>
  </si>
  <si>
    <t>Ed Shikada</t>
  </si>
  <si>
    <t>250 Hamilton Ave, 7th Floor</t>
  </si>
  <si>
    <t>3001 El Camino Real</t>
  </si>
  <si>
    <t>Palo Alto</t>
  </si>
  <si>
    <t>132-37-074</t>
  </si>
  <si>
    <t>40%/60%</t>
  </si>
  <si>
    <t>1400 Parkmoor Ave. Ste. 190</t>
  </si>
  <si>
    <t>San Jose</t>
  </si>
  <si>
    <t>CA</t>
  </si>
  <si>
    <t>Christian Poncetta</t>
  </si>
  <si>
    <t>408-930-2015</t>
  </si>
  <si>
    <t>cponcetta@charitieshousing.org</t>
  </si>
  <si>
    <t>Charities Housing Development Corporation</t>
  </si>
  <si>
    <t>El Camino PA, LLC</t>
  </si>
  <si>
    <t>Managing GP</t>
  </si>
  <si>
    <t xml:space="preserve">San Jose </t>
  </si>
  <si>
    <t xml:space="preserve">Charities Housing Development Corporation of Santa Clara County </t>
  </si>
  <si>
    <t xml:space="preserve">Project Manager, Direct Employee </t>
  </si>
  <si>
    <t>1400 Parkmoor Avenue Suite 190</t>
  </si>
  <si>
    <t>San Jose, CA 95126</t>
  </si>
  <si>
    <t xml:space="preserve">David Baker Architects </t>
  </si>
  <si>
    <t>461 Second Street #127</t>
  </si>
  <si>
    <t>San Francisco, CA 94107</t>
  </si>
  <si>
    <t>Susan Son</t>
  </si>
  <si>
    <t>Service Commercial, Affordable Housing Overlay</t>
  </si>
  <si>
    <t>Service Commercial, Affordable Housing Overlay, unlimited density</t>
  </si>
  <si>
    <t>Service Commercial, 113.15 DUA</t>
  </si>
  <si>
    <t>Residential Units must have affordability restrictions for 55 years</t>
  </si>
  <si>
    <t>60'</t>
  </si>
  <si>
    <t>Not Applicable</t>
  </si>
  <si>
    <t>605-329-2392</t>
  </si>
  <si>
    <t>citymgr@cityofpaloalto.org</t>
  </si>
  <si>
    <t>Gubb &amp; Barshay LLP</t>
  </si>
  <si>
    <t>235 Montgomery Street, Suite 11</t>
  </si>
  <si>
    <t>San Francisco, CA 94104</t>
  </si>
  <si>
    <t>Lauren B. Fechter</t>
  </si>
  <si>
    <t>L&amp;D Construction Co. Inc</t>
  </si>
  <si>
    <t>416 S. Hillview Drive</t>
  </si>
  <si>
    <t>Milpitas, CA 95035</t>
  </si>
  <si>
    <t>Michael Lodoen</t>
  </si>
  <si>
    <t>Armanino LLP</t>
  </si>
  <si>
    <t>50 W San Fernando St, Ste 500</t>
  </si>
  <si>
    <t>San Jose, CA 95113</t>
  </si>
  <si>
    <t>Yu-Ting Wang</t>
  </si>
  <si>
    <t>Bright Green Strategies</t>
  </si>
  <si>
    <t>1717 Seabright Avenue Suite 4</t>
  </si>
  <si>
    <t>Santa Cruz, CA 95062</t>
  </si>
  <si>
    <t>TBD</t>
  </si>
  <si>
    <t>California Housing Partnership</t>
  </si>
  <si>
    <t>55 Stevenson St, Ste 500</t>
  </si>
  <si>
    <t>San Francisco, CA 94105</t>
  </si>
  <si>
    <t>Thai-An Ngo</t>
  </si>
  <si>
    <t>Cushman and Wakefield</t>
  </si>
  <si>
    <t>1 Almaden Boulevard Suite 630</t>
  </si>
  <si>
    <t xml:space="preserve">Dan Schmidt </t>
  </si>
  <si>
    <t>Charities Housing Development Corporation of Santa Clara County</t>
  </si>
  <si>
    <t>1400 Parkmoor Ave. Suite 190</t>
  </si>
  <si>
    <t>Lisa Caldwell</t>
  </si>
  <si>
    <t>yuting.wang@armaninollp.com</t>
  </si>
  <si>
    <t>tgno@chpc.net</t>
  </si>
  <si>
    <t>dan.schmidt@cushwake.com</t>
  </si>
  <si>
    <t>lcaldwell@charitieshousing.org</t>
  </si>
  <si>
    <t>michael_lodoen@landd.com</t>
  </si>
  <si>
    <t>lfechter@gubbandbarshay.com</t>
  </si>
  <si>
    <t>susanson@dbarchitect.com</t>
  </si>
  <si>
    <t>408-491-7777</t>
  </si>
  <si>
    <t>831-419-4869</t>
  </si>
  <si>
    <t>408-436-3684</t>
  </si>
  <si>
    <t>408-494-1238</t>
  </si>
  <si>
    <t>916-326-8808</t>
  </si>
  <si>
    <t>408-550-8300</t>
  </si>
  <si>
    <t>415-715-7867</t>
  </si>
  <si>
    <t>415-781-6600</t>
  </si>
  <si>
    <t>Real Estate Trust at Silicon Valley Community Foundation</t>
  </si>
  <si>
    <t>Elizabeth A. Carey</t>
  </si>
  <si>
    <t xml:space="preserve">President </t>
  </si>
  <si>
    <t xml:space="preserve">444 Castro Street, Suite 140 </t>
  </si>
  <si>
    <t>Mountain View, CA 4041</t>
  </si>
  <si>
    <t>President</t>
  </si>
  <si>
    <t>County of Santa Clara</t>
  </si>
  <si>
    <t>Secured by Fee Interest</t>
  </si>
  <si>
    <t>Inner City Infill Site</t>
  </si>
  <si>
    <t>Stanford Affordable Housing Fund</t>
  </si>
  <si>
    <t>Variable</t>
  </si>
  <si>
    <t>Fixed</t>
  </si>
  <si>
    <t xml:space="preserve">City of Palo Alto </t>
  </si>
  <si>
    <t>Costs Deferred Until Closing</t>
  </si>
  <si>
    <t>LIHTC Equity During Construction</t>
  </si>
  <si>
    <t>Eric Leimbach</t>
  </si>
  <si>
    <t>110 W. Tasman Drive</t>
  </si>
  <si>
    <t>Marie Walters</t>
  </si>
  <si>
    <t>250 Hamilton Ave</t>
  </si>
  <si>
    <t>Robert Feign</t>
  </si>
  <si>
    <t>Marvel Ang</t>
  </si>
  <si>
    <t xml:space="preserve">Tax Credit Partner </t>
  </si>
  <si>
    <t>415-515-0761</t>
  </si>
  <si>
    <t>408-278-6411</t>
  </si>
  <si>
    <t>Construction / Perm</t>
  </si>
  <si>
    <t>Deferred Until Closing</t>
  </si>
  <si>
    <t>650-329-2195</t>
  </si>
  <si>
    <t>Tax Exempt Permanent Loan</t>
  </si>
  <si>
    <t>Santa Clara County Housing Authority</t>
  </si>
  <si>
    <t>Supplies, Subscriptions, Trainings, misc.</t>
  </si>
  <si>
    <t>Stanford</t>
  </si>
  <si>
    <t>Project-based vouchers (PBVs)</t>
  </si>
  <si>
    <t>Contracts</t>
  </si>
  <si>
    <t>Licensing Tax/ Misc Tax</t>
  </si>
  <si>
    <t>Trustee Fee</t>
  </si>
  <si>
    <t>County of Santa Clara - Stanford Affordable Housing Fund</t>
  </si>
  <si>
    <t>2 bedroom</t>
  </si>
  <si>
    <t>3 bedroom</t>
  </si>
  <si>
    <t>County of Santa Clara, City of Palo Alto</t>
  </si>
  <si>
    <t>Citi Tax-Exempt Construction Loan</t>
  </si>
  <si>
    <t>Citi Taxable Construction Loan</t>
  </si>
  <si>
    <t xml:space="preserve"> TE Perm Loan</t>
  </si>
  <si>
    <t>Other: Lender Expenses</t>
  </si>
  <si>
    <t>Other:  Perm Lender Expenses</t>
  </si>
  <si>
    <t>Other: Owner Legal</t>
  </si>
  <si>
    <t>Other: Photovoltaic System, GC Bond Premium, Enviro Remediation</t>
  </si>
  <si>
    <t>City of Palo Alto, Housing Authority, County of Santa Clara</t>
  </si>
  <si>
    <t xml:space="preserve">Charities Housing Development Corportation of Santa Clara County </t>
  </si>
  <si>
    <t>CMFA</t>
  </si>
  <si>
    <t>Anthony Stubbs</t>
  </si>
  <si>
    <t>astubss@cmfa-ca.com</t>
  </si>
  <si>
    <t>Carlsbad, CA 92011</t>
  </si>
  <si>
    <t>2111 Palomar Airport Rd, ste 320</t>
  </si>
  <si>
    <t>Provided</t>
  </si>
  <si>
    <t>Sharon Block</t>
  </si>
  <si>
    <t>sharon@brightgreenstrategies.com</t>
  </si>
  <si>
    <t>Daniel Galleno</t>
  </si>
  <si>
    <t>daniel.galleno@cushwake.com</t>
  </si>
  <si>
    <t>new construction with 130 total units for large families with 103 parking spaces on-grade</t>
  </si>
  <si>
    <t>300 Grand Ave Suite 3110</t>
  </si>
  <si>
    <t>Construction Loan - Bond Tax Exempt</t>
  </si>
  <si>
    <t xml:space="preserve">Construction Loan - Taxable </t>
  </si>
  <si>
    <t>LIHTC</t>
  </si>
  <si>
    <t>760-930-1333</t>
  </si>
  <si>
    <t xml:space="preserve">300 Grand Ave ste. 3310 </t>
  </si>
  <si>
    <t>Los Angeles,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</si>
</sst>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1" fontId="25" fillId="5" borderId="3" xfId="0" applyNumberFormat="1" applyFont="1" applyFill="1" applyBorder="1" applyAlignment="1" applyProtection="1">
      <alignment horizontal="center"/>
      <protection locked="0"/>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6" fillId="5" borderId="3" xfId="0" applyNumberFormat="1" applyFont="1" applyFill="1" applyBorder="1" applyAlignment="1" applyProtection="1">
      <alignment horizontal="center"/>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ht="13">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ht="13">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5" customHeight="1">
      <c r="A40" s="4"/>
      <c r="B40"/>
      <c r="C40" s="2"/>
      <c r="D40" s="4"/>
      <c r="E40" s="4" t="s">
        <v>653</v>
      </c>
      <c r="F40" s="1262" t="s">
        <v>1164</v>
      </c>
    </row>
    <row r="41" spans="1:38" s="1262" customFormat="1" ht="13.25" customHeight="1">
      <c r="A41" s="4"/>
      <c r="B41"/>
      <c r="C41" s="2"/>
      <c r="D41" s="4"/>
      <c r="E41" s="4"/>
    </row>
    <row r="42" spans="1:38" ht="13">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2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750</v>
      </c>
      <c r="H74" s="4"/>
      <c r="J74" s="120"/>
      <c r="K74" s="120"/>
      <c r="L74" s="120"/>
      <c r="P74" s="4"/>
      <c r="Q74" s="4"/>
      <c r="R74" s="4"/>
      <c r="S74" s="4"/>
      <c r="T74" s="4"/>
      <c r="U74" s="4"/>
      <c r="V74" s="4"/>
      <c r="W74" s="4"/>
      <c r="X74" s="4"/>
      <c r="Y74" s="4"/>
      <c r="Z74" s="4"/>
      <c r="AA74" s="4"/>
      <c r="AB74" s="4"/>
    </row>
    <row r="75" spans="1:37" ht="13">
      <c r="A75" s="4"/>
      <c r="C75" s="2"/>
      <c r="D75" s="4"/>
      <c r="E75" s="4"/>
      <c r="F75" s="8"/>
      <c r="G75" s="120" t="s">
        <v>864</v>
      </c>
      <c r="J75" s="120"/>
      <c r="K75" s="120"/>
      <c r="L75" s="120"/>
      <c r="P75" s="4"/>
      <c r="Q75" s="4"/>
      <c r="R75" s="4"/>
      <c r="S75" s="4"/>
      <c r="T75" s="4"/>
      <c r="U75" s="4"/>
      <c r="V75" s="4"/>
      <c r="W75" s="4"/>
      <c r="X75" s="4"/>
      <c r="Y75" s="4"/>
      <c r="Z75" s="4"/>
      <c r="AA75" s="4"/>
      <c r="AB75" s="4"/>
    </row>
    <row r="76" spans="1:37" ht="13">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865</v>
      </c>
      <c r="K77" s="4"/>
      <c r="L77" s="4"/>
      <c r="M77" s="4"/>
      <c r="P77" s="4"/>
      <c r="Q77" s="4"/>
      <c r="R77" s="4"/>
      <c r="S77" s="4"/>
      <c r="T77" s="4"/>
      <c r="U77" s="4"/>
      <c r="V77" s="4"/>
      <c r="W77" s="4"/>
      <c r="X77" s="4"/>
      <c r="Y77" s="4"/>
      <c r="Z77" s="4"/>
      <c r="AA77" s="4"/>
      <c r="AB77" s="4"/>
    </row>
    <row r="78" spans="1:37" ht="13">
      <c r="A78" s="4"/>
      <c r="C78" s="2"/>
      <c r="D78" s="4"/>
      <c r="E78" s="4"/>
      <c r="F78" s="4"/>
      <c r="G78" s="4" t="s">
        <v>757</v>
      </c>
      <c r="H78" s="4" t="s">
        <v>753</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261</v>
      </c>
      <c r="F87" t="s">
        <v>866</v>
      </c>
      <c r="G87" s="4"/>
      <c r="L87" s="4"/>
      <c r="M87" s="4"/>
      <c r="P87" s="4"/>
      <c r="Q87" s="4"/>
      <c r="R87" s="4"/>
      <c r="S87" s="4"/>
      <c r="T87" s="4"/>
      <c r="U87" s="4"/>
      <c r="V87" s="4"/>
      <c r="W87" s="4"/>
      <c r="X87" s="4"/>
      <c r="Y87" s="4"/>
      <c r="Z87" s="4"/>
      <c r="AA87" s="4"/>
      <c r="AB87" s="4"/>
    </row>
    <row r="88" spans="1:37" ht="13">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ht="13">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ht="13">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904</v>
      </c>
      <c r="F94" s="204" t="s">
        <v>905</v>
      </c>
      <c r="G94" s="204"/>
      <c r="L94" s="4"/>
      <c r="M94" s="4"/>
      <c r="P94" s="4"/>
      <c r="Q94" s="4"/>
      <c r="R94" s="4"/>
      <c r="S94" s="4"/>
      <c r="T94" s="4"/>
      <c r="U94" s="4"/>
      <c r="V94" s="4"/>
      <c r="W94" s="4"/>
      <c r="X94" s="4"/>
      <c r="Y94" s="4"/>
      <c r="Z94" s="4"/>
      <c r="AA94" s="4"/>
      <c r="AB94" s="4"/>
    </row>
    <row r="95" spans="1:37" ht="13">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ht="13">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1186</v>
      </c>
      <c r="H103" s="2"/>
      <c r="I103" s="2"/>
      <c r="K103" s="2"/>
    </row>
    <row r="104" spans="1:38" ht="13">
      <c r="B104" s="2"/>
      <c r="C104" s="2"/>
      <c r="D104" s="2" t="s">
        <v>206</v>
      </c>
      <c r="E104" s="2" t="s">
        <v>1188</v>
      </c>
      <c r="F104" s="2"/>
      <c r="G104" s="2"/>
      <c r="H104" s="2"/>
      <c r="I104" s="2"/>
      <c r="J104" s="2"/>
      <c r="K104" s="2"/>
      <c r="L104" s="2"/>
      <c r="M104" s="2"/>
    </row>
    <row r="105" spans="1:38" ht="13">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ht="13">
      <c r="E109" s="4" t="s">
        <v>113</v>
      </c>
      <c r="F109" s="98" t="s">
        <v>656</v>
      </c>
      <c r="G109" s="2"/>
      <c r="H109" s="2"/>
      <c r="I109" s="2"/>
      <c r="J109" s="2"/>
    </row>
    <row r="110" spans="1:38">
      <c r="E110" s="4"/>
      <c r="F110" t="s">
        <v>657</v>
      </c>
    </row>
    <row r="111" spans="1:38">
      <c r="E111" s="4"/>
    </row>
    <row r="112" spans="1:38" ht="13">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ht="13">
      <c r="F117" s="4" t="s">
        <v>1015</v>
      </c>
      <c r="G117" s="4"/>
    </row>
    <row r="118" spans="2:10" ht="13">
      <c r="F118" s="99" t="s">
        <v>1187</v>
      </c>
      <c r="G118" s="99"/>
    </row>
    <row r="119" spans="2:10" ht="13">
      <c r="G119" s="99"/>
    </row>
    <row r="120" spans="2:10">
      <c r="E120" s="4" t="s">
        <v>763</v>
      </c>
      <c r="F120" s="98" t="s">
        <v>377</v>
      </c>
    </row>
    <row r="121" spans="2:10">
      <c r="E121" s="4"/>
      <c r="F121" s="4" t="s">
        <v>1007</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923</v>
      </c>
      <c r="F125" s="4"/>
    </row>
    <row r="126" spans="2:10"/>
    <row r="127" spans="2:10" ht="13">
      <c r="D127" s="2" t="s">
        <v>340</v>
      </c>
      <c r="E127" s="2" t="s">
        <v>577</v>
      </c>
    </row>
    <row r="128" spans="2:10">
      <c r="E128" s="4" t="s">
        <v>923</v>
      </c>
      <c r="F128" s="4"/>
    </row>
    <row r="129" spans="4:37"/>
    <row r="130" spans="4:37" ht="13">
      <c r="D130" s="2" t="s">
        <v>574</v>
      </c>
      <c r="E130" s="2" t="s">
        <v>724</v>
      </c>
      <c r="G130" s="2"/>
      <c r="H130" s="2"/>
      <c r="I130" s="2"/>
      <c r="J130" s="2"/>
      <c r="K130" s="2"/>
      <c r="L130" s="2"/>
      <c r="M130" s="2"/>
      <c r="N130" s="2"/>
    </row>
    <row r="131" spans="4:37" ht="13">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1213</v>
      </c>
      <c r="F136" s="4"/>
    </row>
    <row r="137" spans="4:37">
      <c r="F137" s="4"/>
    </row>
    <row r="138" spans="4:37" ht="13">
      <c r="D138" s="2" t="s">
        <v>302</v>
      </c>
      <c r="E138" s="2" t="s">
        <v>2042</v>
      </c>
      <c r="F138" s="2"/>
      <c r="G138" s="2"/>
      <c r="H138" s="2"/>
    </row>
    <row r="139" spans="4:37">
      <c r="E139" t="s">
        <v>112</v>
      </c>
      <c r="F139" t="s">
        <v>52</v>
      </c>
    </row>
    <row r="140" spans="4:37">
      <c r="E140" t="s">
        <v>113</v>
      </c>
      <c r="F140" t="s">
        <v>466</v>
      </c>
    </row>
    <row r="141" spans="4:37"/>
    <row r="142" spans="4:37" ht="13">
      <c r="D142" s="2" t="s">
        <v>428</v>
      </c>
      <c r="E142" s="2" t="s">
        <v>2043</v>
      </c>
    </row>
    <row r="143" spans="4:37">
      <c r="E143" s="204" t="s">
        <v>2044</v>
      </c>
      <c r="F143" s="204"/>
    </row>
    <row r="144" spans="4:37"/>
    <row r="145" spans="3:7" ht="13">
      <c r="C145" s="2" t="s">
        <v>6</v>
      </c>
      <c r="G145" s="2" t="s">
        <v>379</v>
      </c>
    </row>
    <row r="146" spans="3:7" ht="13">
      <c r="D146" s="2" t="s">
        <v>206</v>
      </c>
      <c r="E146" s="2" t="s">
        <v>135</v>
      </c>
    </row>
    <row r="147" spans="3:7">
      <c r="E147" t="s">
        <v>797</v>
      </c>
    </row>
    <row r="148" spans="3:7"/>
    <row r="149" spans="3:7" ht="13">
      <c r="D149" s="2" t="s">
        <v>340</v>
      </c>
      <c r="E149" s="2" t="s">
        <v>524</v>
      </c>
      <c r="F149" s="2"/>
    </row>
    <row r="150" spans="3:7">
      <c r="E150" s="4" t="s">
        <v>925</v>
      </c>
      <c r="F150" s="4"/>
    </row>
    <row r="151" spans="3:7"/>
    <row r="152" spans="3:7" ht="13">
      <c r="D152" s="2" t="s">
        <v>574</v>
      </c>
      <c r="E152" s="2" t="s">
        <v>553</v>
      </c>
    </row>
    <row r="153" spans="3:7">
      <c r="E153" s="4" t="s">
        <v>926</v>
      </c>
    </row>
    <row r="154" spans="3:7">
      <c r="E154" s="4" t="s">
        <v>924</v>
      </c>
      <c r="G154" s="4"/>
    </row>
    <row r="155" spans="3:7"/>
    <row r="156" spans="3:7" ht="13">
      <c r="D156" s="2" t="s">
        <v>514</v>
      </c>
      <c r="E156" s="2" t="s">
        <v>533</v>
      </c>
    </row>
    <row r="157" spans="3:7">
      <c r="E157" t="s">
        <v>112</v>
      </c>
      <c r="F157" s="4" t="s">
        <v>927</v>
      </c>
    </row>
    <row r="158" spans="3:7">
      <c r="E158" s="4" t="s">
        <v>113</v>
      </c>
      <c r="F158" s="4" t="s">
        <v>928</v>
      </c>
    </row>
    <row r="159" spans="3:7">
      <c r="E159" s="4" t="s">
        <v>119</v>
      </c>
      <c r="F159" t="s">
        <v>725</v>
      </c>
    </row>
    <row r="160" spans="3:7"/>
    <row r="161" spans="3:20" ht="13">
      <c r="D161" s="2" t="s">
        <v>302</v>
      </c>
      <c r="E161" s="2" t="s">
        <v>380</v>
      </c>
    </row>
    <row r="162" spans="3:20">
      <c r="E162" s="4" t="s">
        <v>929</v>
      </c>
      <c r="F162" s="4"/>
    </row>
    <row r="163" spans="3:20"/>
    <row r="164" spans="3:20" ht="13">
      <c r="D164" s="2" t="s">
        <v>428</v>
      </c>
      <c r="E164" s="2" t="s">
        <v>171</v>
      </c>
    </row>
    <row r="165" spans="3:20">
      <c r="E165" s="4" t="s">
        <v>931</v>
      </c>
    </row>
    <row r="166" spans="3:20">
      <c r="E166" s="4" t="s">
        <v>930</v>
      </c>
    </row>
    <row r="167" spans="3:20"/>
    <row r="168" spans="3:20" ht="13">
      <c r="D168" s="2" t="s">
        <v>557</v>
      </c>
      <c r="E168" s="2" t="s">
        <v>622</v>
      </c>
    </row>
    <row r="169" spans="3:20">
      <c r="E169" t="s">
        <v>112</v>
      </c>
      <c r="F169" t="s">
        <v>726</v>
      </c>
    </row>
    <row r="170" spans="3:20">
      <c r="E170" t="s">
        <v>113</v>
      </c>
      <c r="F170" t="s">
        <v>296</v>
      </c>
    </row>
    <row r="171" spans="3:20">
      <c r="F171" s="4"/>
    </row>
    <row r="172" spans="3:20" ht="13">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932</v>
      </c>
    </row>
    <row r="178" spans="2:19" ht="13">
      <c r="F178" s="120" t="s">
        <v>1148</v>
      </c>
      <c r="I178" s="120"/>
    </row>
    <row r="179" spans="2:19" ht="13">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ht="13">
      <c r="D183" s="2" t="s">
        <v>340</v>
      </c>
      <c r="E183" s="2" t="s">
        <v>1008</v>
      </c>
    </row>
    <row r="184" spans="2:19">
      <c r="B184" s="4"/>
      <c r="C184" s="4"/>
      <c r="E184" s="4" t="s">
        <v>709</v>
      </c>
      <c r="F184" s="4"/>
      <c r="I184" s="4"/>
    </row>
    <row r="185" spans="2:19" ht="13">
      <c r="B185" s="4"/>
      <c r="C185" s="4"/>
      <c r="E185" s="4" t="s">
        <v>1006</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1016</v>
      </c>
      <c r="G191" s="4"/>
      <c r="H191" s="4"/>
      <c r="I191" s="4"/>
    </row>
    <row r="192" spans="2:19" ht="13">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935</v>
      </c>
      <c r="M200" s="4"/>
      <c r="N200" s="4"/>
      <c r="O200" s="4"/>
      <c r="P200" s="4"/>
      <c r="Q200" s="4"/>
      <c r="R200" s="4"/>
      <c r="S200" s="4"/>
    </row>
    <row r="201" spans="2:37" ht="13">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ht="13">
      <c r="B204" s="4"/>
      <c r="C204" s="4"/>
      <c r="D204" s="2"/>
      <c r="E204" s="4" t="s">
        <v>581</v>
      </c>
      <c r="F204" s="4" t="s">
        <v>937</v>
      </c>
      <c r="M204" s="4"/>
      <c r="N204" s="4"/>
      <c r="O204" s="4"/>
      <c r="P204" s="4"/>
      <c r="Q204" s="4"/>
      <c r="R204" s="4"/>
      <c r="S204" s="4"/>
    </row>
    <row r="205" spans="2:37" ht="13">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716</v>
      </c>
      <c r="G224" s="4"/>
      <c r="I224" s="4"/>
      <c r="J224" s="4"/>
      <c r="K224" s="4"/>
      <c r="L224" s="4"/>
      <c r="M224" s="4"/>
      <c r="N224" s="4"/>
      <c r="O224" s="4"/>
      <c r="P224" s="4"/>
      <c r="Q224" s="4"/>
      <c r="R224" s="4"/>
      <c r="S224" s="4"/>
    </row>
    <row r="225" spans="2:19" ht="13">
      <c r="B225" s="2"/>
      <c r="E225" s="4" t="s">
        <v>113</v>
      </c>
      <c r="F225" s="4" t="s">
        <v>680</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717</v>
      </c>
      <c r="G228" s="4"/>
      <c r="I228" s="4"/>
      <c r="J228" s="4"/>
      <c r="K228" s="4"/>
      <c r="L228" s="4"/>
      <c r="M228" s="4"/>
      <c r="N228" s="4"/>
      <c r="O228" s="4"/>
      <c r="P228" s="4"/>
      <c r="Q228" s="4"/>
      <c r="R228" s="4"/>
      <c r="S228" s="4"/>
    </row>
    <row r="229" spans="2:19" ht="13">
      <c r="B229" s="2"/>
      <c r="E229" s="4"/>
      <c r="F229" s="4" t="s">
        <v>718</v>
      </c>
      <c r="G229" s="4"/>
      <c r="H229" s="4"/>
      <c r="I229" s="4"/>
      <c r="J229" s="4"/>
      <c r="K229" s="4"/>
      <c r="L229" s="4"/>
      <c r="M229" s="4"/>
      <c r="N229" s="4"/>
      <c r="O229" s="4"/>
      <c r="P229" s="4"/>
      <c r="Q229" s="4"/>
      <c r="R229" s="4"/>
      <c r="S229" s="4"/>
    </row>
    <row r="230" spans="2:19" ht="13">
      <c r="B230" s="2"/>
      <c r="D230" s="4"/>
      <c r="E230" s="4" t="s">
        <v>113</v>
      </c>
      <c r="F230" s="4" t="s">
        <v>680</v>
      </c>
      <c r="G230" s="4"/>
      <c r="I230" s="4"/>
      <c r="J230" s="4"/>
      <c r="K230" s="4"/>
      <c r="L230" s="4"/>
      <c r="M230" s="4"/>
      <c r="N230" s="4"/>
      <c r="O230" s="4"/>
      <c r="P230" s="4"/>
      <c r="Q230" s="4"/>
      <c r="R230" s="4"/>
      <c r="S230" s="4"/>
    </row>
    <row r="231" spans="2:19" ht="13">
      <c r="B231" s="2"/>
      <c r="E231" s="4" t="s">
        <v>119</v>
      </c>
      <c r="F231" s="98" t="s">
        <v>952</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653</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1149</v>
      </c>
      <c r="G251" s="4"/>
      <c r="I251" s="120"/>
      <c r="J251" s="4"/>
      <c r="K251" s="4"/>
      <c r="L251" s="4"/>
      <c r="M251" s="4"/>
      <c r="N251" s="4"/>
      <c r="O251" s="4"/>
      <c r="P251" s="4"/>
      <c r="Q251" s="4"/>
      <c r="R251" s="4"/>
      <c r="S251" s="4"/>
      <c r="T251" s="4"/>
      <c r="U251" s="4"/>
    </row>
    <row r="252" spans="2:21" ht="13">
      <c r="B252" s="2"/>
      <c r="C252" s="2"/>
      <c r="E252" s="4" t="s">
        <v>113</v>
      </c>
      <c r="F252" s="4" t="s">
        <v>938</v>
      </c>
      <c r="I252" s="4"/>
      <c r="J252" s="4"/>
      <c r="K252" s="4"/>
      <c r="L252" s="4"/>
      <c r="M252" s="4"/>
      <c r="N252" s="4"/>
      <c r="O252" s="4"/>
      <c r="P252" s="4"/>
      <c r="Q252" s="4"/>
      <c r="R252" s="4"/>
      <c r="S252" s="4"/>
      <c r="T252" s="4"/>
      <c r="U252" s="4"/>
    </row>
    <row r="253" spans="2:21" ht="13">
      <c r="B253" s="2"/>
      <c r="C253" s="2"/>
      <c r="E253" s="4"/>
      <c r="F253" s="204" t="s">
        <v>653</v>
      </c>
      <c r="G253" s="204" t="s">
        <v>811</v>
      </c>
      <c r="I253" s="3"/>
      <c r="K253" s="3"/>
      <c r="L253" s="3"/>
      <c r="M253" s="3"/>
      <c r="N253" s="3"/>
      <c r="O253" s="3"/>
      <c r="Q253" s="4"/>
      <c r="R253" s="4"/>
      <c r="S253" s="4"/>
      <c r="T253" s="4"/>
      <c r="U253" s="4"/>
    </row>
    <row r="254" spans="2:21" ht="13">
      <c r="B254" s="2"/>
      <c r="C254" s="2"/>
      <c r="E254" s="4"/>
      <c r="F254" s="204"/>
      <c r="G254" s="204" t="s">
        <v>812</v>
      </c>
      <c r="I254" s="3"/>
      <c r="K254" s="3"/>
      <c r="L254" s="3"/>
      <c r="M254" s="3"/>
      <c r="N254" s="3"/>
      <c r="O254" s="3"/>
      <c r="P254" s="3"/>
    </row>
    <row r="255" spans="2:21" ht="13">
      <c r="B255" s="2"/>
      <c r="C255" s="2"/>
      <c r="E255" s="4"/>
      <c r="F255" s="204" t="s">
        <v>347</v>
      </c>
      <c r="G255" s="204" t="s">
        <v>944</v>
      </c>
      <c r="I255" s="4"/>
      <c r="K255" s="4"/>
      <c r="L255" s="4"/>
      <c r="M255" s="4"/>
      <c r="N255" s="4"/>
      <c r="O255" s="4"/>
      <c r="P255" s="3"/>
    </row>
    <row r="256" spans="2:21" ht="13">
      <c r="B256" s="2"/>
      <c r="C256" s="2"/>
      <c r="E256" s="4"/>
      <c r="F256" s="204"/>
      <c r="G256" s="204" t="s">
        <v>870</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803</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804</v>
      </c>
      <c r="I262" s="4"/>
      <c r="J262" s="4"/>
      <c r="K262" s="4"/>
      <c r="L262" s="4"/>
      <c r="M262" s="4"/>
      <c r="N262" s="4"/>
      <c r="O262" s="4"/>
      <c r="P262" s="4"/>
      <c r="Q262" s="4"/>
      <c r="R262" s="4"/>
      <c r="S262" s="4"/>
    </row>
    <row r="263" spans="2:21" ht="13">
      <c r="B263" s="2"/>
      <c r="C263" s="2"/>
      <c r="E263" s="4" t="s">
        <v>581</v>
      </c>
      <c r="F263" s="204" t="s">
        <v>813</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1018</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945</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1011</v>
      </c>
      <c r="J273" s="4"/>
      <c r="K273" s="4"/>
      <c r="L273" s="4"/>
      <c r="M273" s="4"/>
      <c r="N273" s="4"/>
      <c r="O273" s="4"/>
      <c r="P273" s="4"/>
      <c r="Q273" s="4"/>
      <c r="R273" s="4"/>
      <c r="S273" s="4"/>
      <c r="T273" s="4"/>
      <c r="U273" s="4"/>
    </row>
    <row r="274" spans="2:23" ht="13">
      <c r="B274" s="2"/>
      <c r="D274" s="4"/>
      <c r="E274" s="4" t="s">
        <v>939</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946</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947</v>
      </c>
      <c r="F283" s="120"/>
      <c r="G283" s="4"/>
      <c r="H283" s="120"/>
      <c r="I283" s="120"/>
      <c r="J283" s="4"/>
      <c r="K283" s="4"/>
      <c r="L283" s="4"/>
      <c r="M283" s="4"/>
      <c r="P283" s="4"/>
      <c r="Q283" s="4"/>
      <c r="R283" s="4"/>
      <c r="S283" s="4"/>
    </row>
    <row r="284" spans="2:23" ht="13">
      <c r="B284" s="2"/>
      <c r="D284" s="2"/>
      <c r="E284" s="449" t="s">
        <v>869</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653</v>
      </c>
      <c r="G291" s="4" t="s">
        <v>259</v>
      </c>
      <c r="K291" s="4"/>
      <c r="L291" s="4"/>
      <c r="M291" s="4"/>
      <c r="N291" s="4"/>
      <c r="O291" s="4"/>
      <c r="P291" s="4"/>
      <c r="Q291" s="4"/>
      <c r="R291" s="4"/>
      <c r="S291" s="4"/>
      <c r="T291" s="4"/>
      <c r="U291" s="4"/>
      <c r="V291" s="4"/>
      <c r="W291" s="4"/>
    </row>
    <row r="292" spans="2:23" ht="13">
      <c r="B292" s="2"/>
      <c r="D292" s="4"/>
      <c r="E292" s="4"/>
      <c r="F292" s="4" t="s">
        <v>347</v>
      </c>
      <c r="G292" s="4" t="s">
        <v>940</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742</v>
      </c>
      <c r="G297" s="4"/>
      <c r="K297" s="4"/>
      <c r="L297" s="4"/>
      <c r="M297" s="4"/>
      <c r="N297" s="4"/>
      <c r="O297" s="4"/>
      <c r="P297" s="4"/>
      <c r="Q297" s="4"/>
      <c r="R297" s="4"/>
      <c r="S297" s="4"/>
      <c r="T297" s="4"/>
      <c r="U297" s="4"/>
      <c r="V297" s="4"/>
      <c r="W297" s="4"/>
    </row>
    <row r="298" spans="2:23" ht="13">
      <c r="B298" s="2"/>
      <c r="D298" s="4"/>
      <c r="E298" s="4" t="s">
        <v>763</v>
      </c>
      <c r="F298" s="4" t="s">
        <v>749</v>
      </c>
      <c r="G298" s="4"/>
      <c r="K298" s="4"/>
      <c r="L298" s="4"/>
      <c r="M298" s="4"/>
      <c r="N298" s="4"/>
      <c r="O298" s="4"/>
      <c r="P298" s="4"/>
      <c r="Q298" s="4"/>
      <c r="R298" s="4"/>
      <c r="S298" s="4"/>
      <c r="T298" s="4"/>
      <c r="U298" s="4"/>
      <c r="V298" s="4"/>
      <c r="W298" s="4"/>
    </row>
    <row r="299" spans="2:23" ht="1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948</v>
      </c>
      <c r="F304" s="4"/>
      <c r="K304" s="4"/>
      <c r="L304" s="4"/>
      <c r="M304" s="4"/>
      <c r="N304" s="4"/>
      <c r="O304" s="4"/>
      <c r="P304" s="4"/>
      <c r="Q304" s="4"/>
      <c r="R304" s="4"/>
      <c r="S304" s="4"/>
      <c r="T304" s="4"/>
      <c r="U304" s="4"/>
      <c r="V304" s="4"/>
      <c r="W304" s="4"/>
    </row>
    <row r="305" spans="2:23" ht="13">
      <c r="B305" s="2"/>
      <c r="D305" s="2"/>
      <c r="E305" s="4" t="s">
        <v>946</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799</v>
      </c>
      <c r="F310" s="4"/>
      <c r="G310" s="4"/>
      <c r="I310" s="4"/>
      <c r="K310" s="4"/>
    </row>
    <row r="311" spans="2:23" ht="13">
      <c r="B311" s="2"/>
      <c r="D311" s="2"/>
      <c r="E311" s="4" t="s">
        <v>949</v>
      </c>
      <c r="F311" s="4"/>
      <c r="G311" s="4"/>
      <c r="I311" s="4"/>
      <c r="K311" s="4"/>
    </row>
    <row r="312" spans="2:23" ht="13">
      <c r="B312" s="2"/>
      <c r="D312" s="2"/>
      <c r="E312" s="4" t="s">
        <v>800</v>
      </c>
      <c r="F312" s="4"/>
      <c r="G312" s="4"/>
      <c r="I312" s="4"/>
      <c r="K312" s="4"/>
    </row>
    <row r="313" spans="2:23" ht="13">
      <c r="B313" s="2"/>
      <c r="D313" s="2"/>
      <c r="G313" s="4"/>
      <c r="I313" s="4"/>
      <c r="K313" s="4"/>
    </row>
    <row r="314" spans="2:23" ht="13">
      <c r="B314" s="2"/>
      <c r="D314" s="2" t="s">
        <v>340</v>
      </c>
      <c r="E314" s="2" t="s">
        <v>751</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735</v>
      </c>
      <c r="F317" s="3"/>
      <c r="G317" s="4"/>
      <c r="H317" s="4"/>
      <c r="I317" s="4"/>
      <c r="J317" s="4"/>
      <c r="K317" s="4"/>
      <c r="L317" s="4"/>
      <c r="M317" s="4"/>
      <c r="N317" s="4"/>
      <c r="O317" s="4"/>
      <c r="P317" s="4"/>
      <c r="Q317" s="4"/>
      <c r="R317" s="4"/>
      <c r="S317" s="4"/>
    </row>
    <row r="318" spans="2:23" ht="13">
      <c r="B318" s="2"/>
      <c r="E318" t="s">
        <v>732</v>
      </c>
      <c r="I318" s="4"/>
      <c r="J318" s="4"/>
      <c r="K318" s="4"/>
      <c r="L318" s="4"/>
      <c r="M318" s="4"/>
      <c r="N318" s="4"/>
      <c r="O318" s="4"/>
      <c r="P318" s="4"/>
      <c r="Q318" s="4"/>
      <c r="R318" s="4"/>
      <c r="S318" s="4"/>
    </row>
    <row r="319" spans="2:23" ht="13">
      <c r="B319" s="2"/>
      <c r="E319" t="s">
        <v>733</v>
      </c>
      <c r="I319" s="4"/>
      <c r="J319" s="4"/>
      <c r="K319" s="4"/>
      <c r="L319" s="4"/>
      <c r="M319" s="4"/>
      <c r="N319" s="4"/>
      <c r="O319" s="4"/>
      <c r="P319" s="4"/>
      <c r="Q319" s="4"/>
      <c r="R319" s="4"/>
      <c r="S319" s="4"/>
    </row>
    <row r="320" spans="2:23" ht="13">
      <c r="B320" s="2"/>
      <c r="E320" t="s">
        <v>734</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ht="13">
      <c r="F326" s="120" t="s">
        <v>1151</v>
      </c>
      <c r="I326" s="120"/>
      <c r="J326" s="4"/>
      <c r="K326" s="4"/>
      <c r="L326" s="4"/>
      <c r="M326" s="4"/>
      <c r="N326" s="4"/>
      <c r="O326" s="4"/>
      <c r="P326" s="4"/>
      <c r="Q326" s="4"/>
      <c r="R326" s="4"/>
      <c r="S326" s="4"/>
    </row>
    <row r="327" spans="1:38" ht="13">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739</v>
      </c>
      <c r="J333" s="4"/>
      <c r="K333" s="4"/>
      <c r="L333" s="4"/>
      <c r="M333" s="4"/>
      <c r="N333" s="4"/>
      <c r="O333" s="4"/>
      <c r="P333" s="4"/>
      <c r="Q333" s="4"/>
      <c r="R333" s="4"/>
      <c r="S333" s="4"/>
    </row>
    <row r="334" spans="1:38" ht="13">
      <c r="B334" s="2"/>
      <c r="E334" s="4"/>
      <c r="F334" s="4" t="s">
        <v>740</v>
      </c>
      <c r="J334" s="4"/>
      <c r="K334" s="4"/>
      <c r="L334" s="4"/>
      <c r="M334" s="4"/>
      <c r="N334" s="4"/>
      <c r="O334" s="4"/>
      <c r="P334" s="4"/>
      <c r="Q334" s="4"/>
      <c r="R334" s="4"/>
      <c r="S334" s="4"/>
    </row>
    <row r="335" spans="1:38" ht="13">
      <c r="B335" s="2"/>
      <c r="E335" s="4"/>
      <c r="F335" s="4" t="s">
        <v>741</v>
      </c>
      <c r="I335" s="4"/>
      <c r="J335" s="4"/>
      <c r="K335" s="4"/>
      <c r="L335" s="4"/>
      <c r="M335" s="4"/>
      <c r="N335" s="4"/>
      <c r="O335" s="4"/>
      <c r="P335" s="4"/>
      <c r="Q335" s="4"/>
      <c r="R335" s="4"/>
      <c r="S335" s="4"/>
    </row>
    <row r="336" spans="1:38" ht="13">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430</v>
      </c>
      <c r="G340" s="2" t="s">
        <v>1228</v>
      </c>
      <c r="I340" s="2"/>
      <c r="J340" s="4"/>
      <c r="K340" s="4"/>
      <c r="L340" s="4"/>
      <c r="M340" s="4"/>
      <c r="N340" s="4"/>
      <c r="O340" s="4"/>
      <c r="P340" s="4"/>
      <c r="Q340" s="4"/>
      <c r="R340" s="4"/>
      <c r="S340" s="4"/>
    </row>
    <row r="341" spans="2:37" ht="13.2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743</v>
      </c>
      <c r="I359" s="4"/>
      <c r="J359" s="4"/>
      <c r="K359" s="4"/>
      <c r="L359" s="4"/>
      <c r="M359" s="4"/>
      <c r="N359" s="4"/>
      <c r="O359" s="4"/>
      <c r="P359" s="4"/>
      <c r="Q359" s="4"/>
      <c r="R359" s="4"/>
      <c r="S359" s="4"/>
    </row>
    <row r="360" spans="1:38" ht="13">
      <c r="B360" s="2"/>
      <c r="F360" s="4" t="s">
        <v>744</v>
      </c>
      <c r="I360" s="4"/>
      <c r="J360" s="4"/>
      <c r="K360" s="4"/>
      <c r="L360" s="4"/>
      <c r="M360" s="4"/>
      <c r="N360" s="4"/>
      <c r="O360" s="4"/>
      <c r="P360" s="4"/>
      <c r="Q360" s="4"/>
      <c r="R360" s="4"/>
      <c r="S360" s="4"/>
    </row>
    <row r="361" spans="1:38" ht="13">
      <c r="B361" s="2"/>
      <c r="F361" s="4" t="s">
        <v>872</v>
      </c>
      <c r="G361" s="4"/>
      <c r="K361" s="4"/>
      <c r="L361" s="4"/>
      <c r="M361" s="4"/>
      <c r="N361" s="4"/>
      <c r="O361" s="4"/>
      <c r="P361" s="4"/>
      <c r="Q361" s="4"/>
      <c r="R361" s="4"/>
      <c r="S361" s="4"/>
    </row>
    <row r="362" spans="1:38" ht="13">
      <c r="B362" s="2"/>
      <c r="E362" t="s">
        <v>113</v>
      </c>
      <c r="F362" s="4" t="s">
        <v>871</v>
      </c>
      <c r="I362" s="4"/>
      <c r="J362" s="4"/>
      <c r="K362" s="4"/>
      <c r="L362" s="4"/>
      <c r="M362" s="4"/>
      <c r="N362" s="4"/>
      <c r="O362" s="4"/>
      <c r="P362" s="4"/>
      <c r="Q362" s="4"/>
      <c r="R362" s="4"/>
      <c r="S362" s="4"/>
    </row>
    <row r="363" spans="1:38" ht="13">
      <c r="B363" s="2"/>
      <c r="E363" t="s">
        <v>119</v>
      </c>
      <c r="F363" s="4" t="s">
        <v>745</v>
      </c>
      <c r="I363" s="4"/>
      <c r="J363" s="4"/>
      <c r="K363" s="4"/>
      <c r="L363" s="4"/>
      <c r="M363" s="4"/>
      <c r="N363" s="4"/>
      <c r="O363" s="4"/>
      <c r="P363" s="4"/>
      <c r="Q363" s="4"/>
      <c r="R363" s="4"/>
      <c r="S363" s="4"/>
    </row>
    <row r="364" spans="1:38" ht="13">
      <c r="B364" s="2"/>
      <c r="F364" s="4" t="s">
        <v>746</v>
      </c>
      <c r="J364" s="4"/>
      <c r="K364" s="4"/>
      <c r="L364" s="4"/>
      <c r="M364" s="4"/>
      <c r="N364" s="4"/>
      <c r="O364" s="4"/>
      <c r="P364" s="4"/>
      <c r="Q364" s="4"/>
      <c r="R364" s="4"/>
      <c r="S364" s="4"/>
    </row>
    <row r="365" spans="1:38" ht="13">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ht="13">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ht="13">
      <c r="A367"/>
      <c r="B367" s="2"/>
      <c r="C367"/>
      <c r="D367"/>
      <c r="E367" s="1267" t="s">
        <v>1258</v>
      </c>
    </row>
    <row r="368" spans="1:38" s="1268"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747</v>
      </c>
      <c r="F371" s="4"/>
      <c r="G371" s="4"/>
      <c r="H371" s="4"/>
      <c r="I371" s="4"/>
      <c r="J371" s="4"/>
      <c r="K371" s="4"/>
      <c r="L371" s="4"/>
      <c r="M371" s="4"/>
      <c r="N371" s="4"/>
      <c r="O371" s="4"/>
      <c r="P371" s="4"/>
      <c r="Q371" s="4"/>
      <c r="R371" s="4"/>
      <c r="S371" s="4"/>
    </row>
    <row r="372" spans="1:38" ht="13">
      <c r="B372" s="2"/>
      <c r="E372" s="4" t="s">
        <v>748</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1153</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1259</v>
      </c>
      <c r="J379" s="3"/>
      <c r="K379" s="3"/>
      <c r="L379" s="3"/>
      <c r="M379" s="3"/>
      <c r="N379" s="3"/>
      <c r="O379" s="3"/>
      <c r="P379" s="3"/>
      <c r="Q379" s="3"/>
      <c r="R379" s="3"/>
      <c r="S379" s="3"/>
    </row>
    <row r="380" spans="1:38" ht="13">
      <c r="B380" s="2"/>
      <c r="D380" s="2"/>
      <c r="E380" s="3" t="s">
        <v>747</v>
      </c>
      <c r="F380" s="3"/>
      <c r="G380" s="3"/>
      <c r="J380" s="3"/>
      <c r="K380" s="3"/>
      <c r="L380" s="3"/>
      <c r="M380" s="3"/>
      <c r="N380" s="3"/>
      <c r="O380" s="3"/>
      <c r="P380" s="3"/>
      <c r="Q380" s="3"/>
      <c r="R380" s="3"/>
      <c r="S380" s="3"/>
    </row>
    <row r="381" spans="1:38" ht="13">
      <c r="B381" s="2"/>
      <c r="D381" s="2"/>
      <c r="E381" s="3" t="s">
        <v>1156</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72" sqref="I72"/>
    </sheetView>
  </sheetViews>
  <sheetFormatPr defaultColWidth="9.1796875" defaultRowHeight="14"/>
  <cols>
    <col min="1" max="1" width="2.453125" style="1044" customWidth="1"/>
    <col min="2" max="9" width="14.6328125" style="1044" customWidth="1"/>
    <col min="10" max="10" width="2.36328125" style="1044" customWidth="1"/>
    <col min="11" max="11" width="11.81640625" style="1045" customWidth="1"/>
    <col min="12" max="12" width="10.63281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59" t="s">
        <v>1585</v>
      </c>
      <c r="B1" s="2659"/>
      <c r="C1" s="2659"/>
      <c r="D1" s="2659"/>
      <c r="E1" s="2659"/>
      <c r="F1" s="2659"/>
      <c r="G1" s="2659"/>
      <c r="H1" s="2659"/>
      <c r="I1" s="2659"/>
      <c r="J1" s="2659"/>
    </row>
    <row r="2" spans="1:13" ht="15" customHeight="1" thickBot="1">
      <c r="A2" s="1046"/>
      <c r="B2" s="1046"/>
      <c r="I2" s="1047"/>
      <c r="K2" s="1048"/>
    </row>
    <row r="3" spans="1:13" s="1051" customFormat="1" ht="20.25" customHeight="1">
      <c r="A3" s="1100"/>
      <c r="B3" s="1101"/>
      <c r="C3" s="1102"/>
      <c r="D3" s="1107"/>
      <c r="E3" s="1102"/>
      <c r="F3" s="1103" t="s">
        <v>1990</v>
      </c>
      <c r="G3" s="1102"/>
      <c r="H3" s="1104">
        <f>E18</f>
        <v>64024208.000000007</v>
      </c>
      <c r="I3" s="1105"/>
    </row>
    <row r="4" spans="1:13" s="1051" customFormat="1" ht="20.25" customHeight="1">
      <c r="B4" s="1094"/>
      <c r="D4" s="1108"/>
      <c r="F4" s="1092" t="s">
        <v>1992</v>
      </c>
      <c r="G4" s="1091" t="s">
        <v>1991</v>
      </c>
      <c r="H4" s="1093">
        <f>I18</f>
        <v>57228285.312990196</v>
      </c>
      <c r="I4" s="1095"/>
      <c r="K4" s="1055"/>
    </row>
    <row r="5" spans="1:13" s="1051" customFormat="1" ht="20.25" customHeight="1" thickBot="1">
      <c r="B5" s="1096"/>
      <c r="C5" s="1097"/>
      <c r="D5" s="1109"/>
      <c r="E5" s="1098"/>
      <c r="F5" s="1109" t="s">
        <v>1942</v>
      </c>
      <c r="G5" s="1110"/>
      <c r="H5" s="1106">
        <f>IFERROR(H3/H4,0)</f>
        <v>1.1187511149397869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1940</v>
      </c>
      <c r="C8" s="2663"/>
      <c r="D8" s="2663"/>
      <c r="E8" s="2664"/>
      <c r="G8" s="2665" t="s">
        <v>1941</v>
      </c>
      <c r="H8" s="2666"/>
      <c r="I8" s="2667"/>
      <c r="K8" s="1057"/>
    </row>
    <row r="9" spans="1:13" ht="15" customHeight="1">
      <c r="A9" s="1046"/>
      <c r="B9" s="2660" t="s">
        <v>1974</v>
      </c>
      <c r="C9" s="2660"/>
      <c r="D9" s="2660"/>
      <c r="E9" s="1059">
        <f>G33</f>
        <v>7480000</v>
      </c>
      <c r="G9" s="2668" t="s">
        <v>1972</v>
      </c>
      <c r="H9" s="2668"/>
      <c r="I9" s="1060">
        <f>SUMIF(Application!M554:M565,"Loan, Tax-Exempt",Application!AM554:AM565)</f>
        <v>53248129</v>
      </c>
      <c r="K9" s="1061"/>
      <c r="M9" s="1062"/>
    </row>
    <row r="10" spans="1:13" ht="15" customHeight="1" thickBot="1">
      <c r="A10" s="1046"/>
      <c r="B10" s="2660" t="s">
        <v>1975</v>
      </c>
      <c r="C10" s="2660"/>
      <c r="D10" s="2660"/>
      <c r="E10" s="1060">
        <f>G47</f>
        <v>40133808.000000007</v>
      </c>
      <c r="G10" s="2672" t="s">
        <v>1943</v>
      </c>
      <c r="H10" s="2672"/>
      <c r="I10" s="1140">
        <f>'Basis &amp; Credits'!AB78</f>
        <v>26000000</v>
      </c>
      <c r="M10" s="1062"/>
    </row>
    <row r="11" spans="1:13" ht="15" customHeight="1">
      <c r="A11" s="1046"/>
      <c r="B11" s="2676" t="s">
        <v>2264</v>
      </c>
      <c r="C11" s="2677"/>
      <c r="D11" s="2678"/>
      <c r="E11" s="1060">
        <f>SUM(E12,E13)</f>
        <v>1600000</v>
      </c>
      <c r="G11" s="2675" t="s">
        <v>1983</v>
      </c>
      <c r="H11" s="2675"/>
      <c r="I11" s="1139">
        <f>I9+I10</f>
        <v>79248129</v>
      </c>
      <c r="M11" s="1062"/>
    </row>
    <row r="12" spans="1:13" ht="15" customHeight="1">
      <c r="A12" s="1063"/>
      <c r="B12" s="2661" t="s">
        <v>2266</v>
      </c>
      <c r="C12" s="2661"/>
      <c r="D12" s="2661"/>
      <c r="E12" s="1165">
        <f>G56</f>
        <v>320000</v>
      </c>
      <c r="M12" s="1062"/>
    </row>
    <row r="13" spans="1:13" ht="15" customHeight="1">
      <c r="A13" s="1049"/>
      <c r="B13" s="2661" t="s">
        <v>2267</v>
      </c>
      <c r="C13" s="2661"/>
      <c r="D13" s="2661"/>
      <c r="E13" s="1165">
        <f>G65</f>
        <v>1280000</v>
      </c>
      <c r="G13" s="2665" t="s">
        <v>2006</v>
      </c>
      <c r="H13" s="2666"/>
      <c r="I13" s="2667"/>
      <c r="M13" s="1062"/>
    </row>
    <row r="14" spans="1:13" ht="15" customHeight="1">
      <c r="A14" s="1049"/>
      <c r="B14" s="2676" t="s">
        <v>2265</v>
      </c>
      <c r="C14" s="2677"/>
      <c r="D14" s="2678"/>
      <c r="E14" s="1167">
        <f>MAX(E15,E16)+E17</f>
        <v>14810400</v>
      </c>
      <c r="G14" s="2668" t="s">
        <v>139</v>
      </c>
      <c r="H14" s="2668"/>
      <c r="I14" s="1064">
        <f>15%*(AND(G120="Yes",G122&lt;&gt;""))</f>
        <v>0.15</v>
      </c>
      <c r="M14" s="1062"/>
    </row>
    <row r="15" spans="1:13" ht="15" customHeight="1">
      <c r="A15" s="1049"/>
      <c r="B15" s="2679" t="s">
        <v>2271</v>
      </c>
      <c r="C15" s="2680"/>
      <c r="D15" s="2681"/>
      <c r="E15" s="1165">
        <f>G80</f>
        <v>4488000</v>
      </c>
      <c r="G15" s="1137" t="s">
        <v>1984</v>
      </c>
      <c r="H15" s="1137"/>
      <c r="I15" s="1064">
        <f>IF(Application!AJ1032&gt;0,10%,IF(Application!AJ1036&gt;0,5%,0))</f>
        <v>0</v>
      </c>
      <c r="M15" s="1062"/>
    </row>
    <row r="16" spans="1:13" ht="15" customHeight="1">
      <c r="A16" s="1049"/>
      <c r="B16" s="2679" t="s">
        <v>2270</v>
      </c>
      <c r="C16" s="2680"/>
      <c r="D16" s="2681"/>
      <c r="E16" s="1165">
        <f>G90</f>
        <v>0</v>
      </c>
      <c r="G16" s="2668" t="s">
        <v>1985</v>
      </c>
      <c r="H16" s="2668"/>
      <c r="I16" s="1064">
        <f>G132</f>
        <v>0.127859477124183</v>
      </c>
    </row>
    <row r="17" spans="1:21" ht="15" customHeight="1" thickBot="1">
      <c r="A17" s="1049"/>
      <c r="B17" s="2679" t="s">
        <v>2269</v>
      </c>
      <c r="C17" s="2680"/>
      <c r="D17" s="2681"/>
      <c r="E17" s="1165">
        <f>G115</f>
        <v>10322400</v>
      </c>
      <c r="G17" s="2668" t="s">
        <v>2279</v>
      </c>
      <c r="H17" s="2668"/>
      <c r="I17" s="1064">
        <f>IF(AND(G139="Yes",OR(G136,G137)),IF(G143&gt;15%,15%,G143),0)</f>
        <v>0</v>
      </c>
    </row>
    <row r="18" spans="1:21" ht="15" customHeight="1">
      <c r="A18" s="1046"/>
      <c r="B18" s="2671" t="s">
        <v>1939</v>
      </c>
      <c r="C18" s="2671"/>
      <c r="D18" s="2671"/>
      <c r="E18" s="1111">
        <f>SUM(E9:E11,E14)</f>
        <v>64024208.000000007</v>
      </c>
      <c r="G18" s="1138" t="s">
        <v>1973</v>
      </c>
      <c r="H18" s="1138"/>
      <c r="I18" s="1112">
        <f>I11-((I11*I14)+(I11*I15)+(I11*I16)+(I11*I17))</f>
        <v>57228285.312990196</v>
      </c>
      <c r="M18" s="1065">
        <f>SUM(Cdlac[Quantity])</f>
        <v>128</v>
      </c>
      <c r="O18" s="1084" t="s">
        <v>582</v>
      </c>
      <c r="P18" s="1044">
        <f>MATCH(Application!T189,Application!CB160:CB217,0)</f>
        <v>43</v>
      </c>
      <c r="T18" s="1065">
        <f>SUM(Cdlac[Population])</f>
        <v>32</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12</v>
      </c>
      <c r="N20" s="1071">
        <f>Application!AC718</f>
        <v>0.3</v>
      </c>
      <c r="O20" s="1071">
        <f>IF(Cdlac[[#This Row],[Quantity]]&gt;0,IF(Cdlac[[#This Row],[Federal]],30%,IF(AND(OR(NOT($G$38),$G$38=""),$G$43),40%,Cdlac[[#This Row],[iAMI]])),"")</f>
        <v>0.3</v>
      </c>
      <c r="P20" s="1065" cm="1">
        <f t="array" ref="P20">IF(Cdlac[[#This Row],[Quantity]]&gt;0,INDEX(TcacRents,$P$18,Cdlac[[#This Row],[Bedrooms]]+1)*Cdlac[[#This Row],[AMI]],"")</f>
        <v>1054.8</v>
      </c>
      <c r="Q20" s="1164"/>
      <c r="R20" s="1065" cm="1">
        <f t="array" ref="R20">IF(Cdlac[[#This Row],[Quantity]]&gt;0,INDEX(HudFmrs,$P$18,Cdlac[[#This Row],[Bedrooms]]+1),"")</f>
        <v>2608</v>
      </c>
      <c r="S20" s="1065">
        <f>IF(Cdlac[[#This Row],[Quantity]]&gt;0,MAX(0,Cdlac[[#This Row],[Fair Market Rent]]-IF(AND($G$37,$G$38,$G$38&lt;&gt;"",NOT(Cdlac[[#This Row],[Federal]]),Cdlac[[#This Row],[Preservation Rent]]&lt;&gt;""),Cdlac[[#This Row],[Preservation Rent]],Cdlac[[#This Row],[Restricted Rent]])),"")</f>
        <v>1553.2</v>
      </c>
      <c r="T20" s="1044">
        <f>IF(Cdlac[[#This Row],[Quantity]]&gt;0,AND(Application!AK718&lt;&gt;"N/A",Application!AK718&lt;&gt;"")*Cdlac[[#This Row],[Quantity]],"")</f>
        <v>12</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12</v>
      </c>
      <c r="N21" s="1071">
        <f>Application!AC719</f>
        <v>0.3</v>
      </c>
      <c r="O21" s="1071">
        <f>IF(Cdlac[[#This Row],[Quantity]]&gt;0,IF(Cdlac[[#This Row],[Federal]],30%,IF(AND(OR(NOT($G$38),$G$38=""),$G$43),40%,Cdlac[[#This Row],[iAMI]])),"")</f>
        <v>0.3</v>
      </c>
      <c r="P21" s="1065" cm="1">
        <f t="array" ref="P21">IF(Cdlac[[#This Row],[Quantity]]&gt;0,INDEX(TcacRents,$P$18,Cdlac[[#This Row],[Bedrooms]]+1)*Cdlac[[#This Row],[AMI]],"")</f>
        <v>1130.3999999999999</v>
      </c>
      <c r="Q21" s="1164"/>
      <c r="R21" s="1065" cm="1">
        <f t="array" ref="R21">IF(Cdlac[[#This Row],[Quantity]]&gt;0,INDEX(HudFmrs,$P$18,Cdlac[[#This Row],[Bedrooms]]+1),"")</f>
        <v>2975</v>
      </c>
      <c r="S21" s="1065">
        <f>IF(Cdlac[[#This Row],[Quantity]]&gt;0,MAX(0,Cdlac[[#This Row],[Fair Market Rent]]-IF(AND($G$37,$G$38,$G$38&lt;&gt;"",NOT(Cdlac[[#This Row],[Federal]]),Cdlac[[#This Row],[Preservation Rent]]&lt;&gt;""),Cdlac[[#This Row],[Preservation Rent]],Cdlac[[#This Row],[Restricted Rent]])),"")</f>
        <v>1844.6000000000001</v>
      </c>
      <c r="T21" s="1044">
        <f>IF(Cdlac[[#This Row],[Quantity]]&gt;0,AND(Application!AK719&lt;&gt;"N/A",Application!AK719&lt;&gt;"")*Cdlac[[#This Row],[Quantity]],"")</f>
        <v>12</v>
      </c>
      <c r="U21" s="1044" t="b">
        <f>AND('Subsidy Contract Calculation'!F5&gt;0,OR('Subsidy Contract Calculation'!C5="Federal",'Subsidy Contract Calculation'!C5="Local - Approved by ED"),Cdlac[[#This Row],[Quantity]]&gt;0)</f>
        <v>0</v>
      </c>
    </row>
    <row r="22" spans="1:21" ht="15" customHeight="1">
      <c r="A22" s="1049"/>
      <c r="C22" s="2669" t="s">
        <v>1987</v>
      </c>
      <c r="D22" s="2669" t="s">
        <v>1988</v>
      </c>
      <c r="E22" s="2669" t="s">
        <v>1989</v>
      </c>
      <c r="F22" s="2669" t="s">
        <v>2610</v>
      </c>
      <c r="G22" s="2669" t="s">
        <v>1986</v>
      </c>
      <c r="H22" s="1070"/>
      <c r="I22" s="1069"/>
      <c r="L22" s="1044">
        <f>IFERROR(MIN(4,MATCH(Application!B720,UnitSizes,0)-1),"")</f>
        <v>2</v>
      </c>
      <c r="M22" s="1065">
        <f>Application!G720</f>
        <v>4</v>
      </c>
      <c r="N22" s="1071">
        <f>Application!AC720</f>
        <v>0.3</v>
      </c>
      <c r="O22" s="1071">
        <f>IF(Cdlac[[#This Row],[Quantity]]&gt;0,IF(Cdlac[[#This Row],[Federal]],30%,IF(AND(OR(NOT($G$38),$G$38=""),$G$43),40%,Cdlac[[#This Row],[iAMI]])),"")</f>
        <v>0.3</v>
      </c>
      <c r="P22" s="1065" cm="1">
        <f t="array" ref="P22">IF(Cdlac[[#This Row],[Quantity]]&gt;0,INDEX(TcacRents,$P$18,Cdlac[[#This Row],[Bedrooms]]+1)*Cdlac[[#This Row],[AMI]],"")</f>
        <v>1356.6</v>
      </c>
      <c r="Q22" s="1164"/>
      <c r="R22" s="1065" cm="1">
        <f t="array" ref="R22">IF(Cdlac[[#This Row],[Quantity]]&gt;0,INDEX(HudFmrs,$P$18,Cdlac[[#This Row],[Bedrooms]]+1),"")</f>
        <v>3446</v>
      </c>
      <c r="S22" s="1065">
        <f>IF(Cdlac[[#This Row],[Quantity]]&gt;0,MAX(0,Cdlac[[#This Row],[Fair Market Rent]]-IF(AND($G$37,$G$38,$G$38&lt;&gt;"",NOT(Cdlac[[#This Row],[Federal]]),Cdlac[[#This Row],[Preservation Rent]]&lt;&gt;""),Cdlac[[#This Row],[Preservation Rent]],Cdlac[[#This Row],[Restricted Rent]])),"")</f>
        <v>2089.4</v>
      </c>
      <c r="T22" s="1044">
        <f>IF(Cdlac[[#This Row],[Quantity]]&gt;0,AND(Application!AK720&lt;&gt;"N/A",Application!AK720&lt;&gt;"")*Cdlac[[#This Row],[Quantity]],"")</f>
        <v>4</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3</v>
      </c>
      <c r="M23" s="1065">
        <f>Application!G721</f>
        <v>4</v>
      </c>
      <c r="N23" s="1071">
        <f>Application!AC721</f>
        <v>0.3</v>
      </c>
      <c r="O23" s="1071">
        <f>IF(Cdlac[[#This Row],[Quantity]]&gt;0,IF(Cdlac[[#This Row],[Federal]],30%,IF(AND(OR(NOT($G$38),$G$38=""),$G$43),40%,Cdlac[[#This Row],[iAMI]])),"")</f>
        <v>0.3</v>
      </c>
      <c r="P23" s="1065" cm="1">
        <f t="array" ref="P23">IF(Cdlac[[#This Row],[Quantity]]&gt;0,INDEX(TcacRents,$P$18,Cdlac[[#This Row],[Bedrooms]]+1)*Cdlac[[#This Row],[AMI]],"")</f>
        <v>1566.6</v>
      </c>
      <c r="Q23" s="1164"/>
      <c r="R23" s="1065" cm="1">
        <f t="array" ref="R23">IF(Cdlac[[#This Row],[Quantity]]&gt;0,INDEX(HudFmrs,$P$18,Cdlac[[#This Row],[Bedrooms]]+1),"")</f>
        <v>4477</v>
      </c>
      <c r="S23" s="1065">
        <f>IF(Cdlac[[#This Row],[Quantity]]&gt;0,MAX(0,Cdlac[[#This Row],[Fair Market Rent]]-IF(AND($G$37,$G$38,$G$38&lt;&gt;"",NOT(Cdlac[[#This Row],[Federal]]),Cdlac[[#This Row],[Preservation Rent]]&lt;&gt;""),Cdlac[[#This Row],[Preservation Rent]],Cdlac[[#This Row],[Restricted Rent]])),"")</f>
        <v>2910.4</v>
      </c>
      <c r="T23" s="1044">
        <f>IF(Cdlac[[#This Row],[Quantity]]&gt;0,AND(Application!AK721&lt;&gt;"N/A",Application!AK721&lt;&gt;"")*Cdlac[[#This Row],[Quantity]],"")</f>
        <v>4</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24</v>
      </c>
      <c r="F24" s="1072">
        <f>E24</f>
        <v>24</v>
      </c>
      <c r="G24" s="1072">
        <f>D24*F24</f>
        <v>21.6</v>
      </c>
      <c r="L24" s="1044">
        <f>IFERROR(MIN(4,MATCH(Application!B722,UnitSizes,0)-1),"")</f>
        <v>2</v>
      </c>
      <c r="M24" s="1065">
        <f>Application!G722</f>
        <v>16</v>
      </c>
      <c r="N24" s="1071">
        <f>Application!AC722</f>
        <v>0.3</v>
      </c>
      <c r="O24" s="1071">
        <f>IF(Cdlac[[#This Row],[Quantity]]&gt;0,IF(Cdlac[[#This Row],[Federal]],30%,IF(AND(OR(NOT($G$38),$G$38=""),$G$43),40%,Cdlac[[#This Row],[iAMI]])),"")</f>
        <v>0.3</v>
      </c>
      <c r="P24" s="1065" cm="1">
        <f t="array" ref="P24">IF(Cdlac[[#This Row],[Quantity]]&gt;0,INDEX(TcacRents,$P$18,Cdlac[[#This Row],[Bedrooms]]+1)*Cdlac[[#This Row],[AMI]],"")</f>
        <v>1356.6</v>
      </c>
      <c r="Q24" s="1164"/>
      <c r="R24" s="1065" cm="1">
        <f t="array" ref="R24">IF(Cdlac[[#This Row],[Quantity]]&gt;0,INDEX(HudFmrs,$P$18,Cdlac[[#This Row],[Bedrooms]]+1),"")</f>
        <v>3446</v>
      </c>
      <c r="S24" s="1065">
        <f>IF(Cdlac[[#This Row],[Quantity]]&gt;0,MAX(0,Cdlac[[#This Row],[Fair Market Rent]]-IF(AND($G$37,$G$38,$G$38&lt;&gt;"",NOT(Cdlac[[#This Row],[Federal]]),Cdlac[[#This Row],[Preservation Rent]]&lt;&gt;""),Cdlac[[#This Row],[Preservation Rent]],Cdlac[[#This Row],[Restricted Rent]])),"")</f>
        <v>2089.4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40</v>
      </c>
      <c r="F25" s="1072">
        <f>E25</f>
        <v>40</v>
      </c>
      <c r="G25" s="1072">
        <f>D25*F25</f>
        <v>40</v>
      </c>
      <c r="L25" s="1044">
        <f>IFERROR(MIN(4,MATCH(Application!B723,UnitSizes,0)-1),"")</f>
        <v>3</v>
      </c>
      <c r="M25" s="1065">
        <f>Application!G723</f>
        <v>16</v>
      </c>
      <c r="N25" s="1071">
        <f>Application!AC723</f>
        <v>0.3</v>
      </c>
      <c r="O25" s="1071">
        <f>IF(Cdlac[[#This Row],[Quantity]]&gt;0,IF(Cdlac[[#This Row],[Federal]],30%,IF(AND(OR(NOT($G$38),$G$38=""),$G$43),40%,Cdlac[[#This Row],[iAMI]])),"")</f>
        <v>0.3</v>
      </c>
      <c r="P25" s="1065" cm="1">
        <f t="array" ref="P25">IF(Cdlac[[#This Row],[Quantity]]&gt;0,INDEX(TcacRents,$P$18,Cdlac[[#This Row],[Bedrooms]]+1)*Cdlac[[#This Row],[AMI]],"")</f>
        <v>1566.6</v>
      </c>
      <c r="Q25" s="1164"/>
      <c r="R25" s="1065" cm="1">
        <f t="array" ref="R25">IF(Cdlac[[#This Row],[Quantity]]&gt;0,INDEX(HudFmrs,$P$18,Cdlac[[#This Row],[Bedrooms]]+1),"")</f>
        <v>4477</v>
      </c>
      <c r="S25" s="1065">
        <f>IF(Cdlac[[#This Row],[Quantity]]&gt;0,MAX(0,Cdlac[[#This Row],[Fair Market Rent]]-IF(AND($G$37,$G$38,$G$38&lt;&gt;"",NOT(Cdlac[[#This Row],[Federal]]),Cdlac[[#This Row],[Preservation Rent]]&lt;&gt;""),Cdlac[[#This Row],[Preservation Rent]],Cdlac[[#This Row],[Restricted Rent]])),"")</f>
        <v>2910.4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32</v>
      </c>
      <c r="F26" s="1075">
        <f>SUM(E26:E28)-SUM(F27:F28)</f>
        <v>32</v>
      </c>
      <c r="G26" s="1072">
        <f>D26*F26</f>
        <v>40</v>
      </c>
      <c r="H26" s="1074"/>
      <c r="I26" s="1074"/>
      <c r="L26" s="1044">
        <f>IFERROR(MIN(4,MATCH(Application!B724,UnitSizes,0)-1),"")</f>
        <v>0</v>
      </c>
      <c r="M26" s="1065">
        <f>Application!G724</f>
        <v>6</v>
      </c>
      <c r="N26" s="1071">
        <f>Application!AC724</f>
        <v>0.4</v>
      </c>
      <c r="O26" s="1071">
        <f>IF(Cdlac[[#This Row],[Quantity]]&gt;0,IF(Cdlac[[#This Row],[Federal]],30%,IF(AND(OR(NOT($G$38),$G$38=""),$G$43),40%,Cdlac[[#This Row],[iAMI]])),"")</f>
        <v>0.4</v>
      </c>
      <c r="P26" s="1065" cm="1">
        <f t="array" ref="P26">IF(Cdlac[[#This Row],[Quantity]]&gt;0,INDEX(TcacRents,$P$18,Cdlac[[#This Row],[Bedrooms]]+1)*Cdlac[[#This Row],[AMI]],"")</f>
        <v>1406.4</v>
      </c>
      <c r="Q26" s="1164"/>
      <c r="R26" s="1065" cm="1">
        <f t="array" ref="R26">IF(Cdlac[[#This Row],[Quantity]]&gt;0,INDEX(HudFmrs,$P$18,Cdlac[[#This Row],[Bedrooms]]+1),"")</f>
        <v>2608</v>
      </c>
      <c r="S26" s="1065">
        <f>IF(Cdlac[[#This Row],[Quantity]]&gt;0,MAX(0,Cdlac[[#This Row],[Fair Market Rent]]-IF(AND($G$37,$G$38,$G$38&lt;&gt;"",NOT(Cdlac[[#This Row],[Federal]]),Cdlac[[#This Row],[Preservation Rent]]&lt;&gt;""),Cdlac[[#This Row],[Preservation Rent]],Cdlac[[#This Row],[Restricted Rent]])),"")</f>
        <v>1201.5999999999999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32</v>
      </c>
      <c r="F27" s="1075">
        <f>MIN(E27,ROUNDDOWN(E29*30%,0))</f>
        <v>32</v>
      </c>
      <c r="G27" s="1072">
        <f>D27*F27</f>
        <v>48</v>
      </c>
      <c r="H27" s="1074"/>
      <c r="I27" s="1074"/>
      <c r="L27" s="1044">
        <f>IFERROR(MIN(4,MATCH(Application!B725,UnitSizes,0)-1),"")</f>
        <v>1</v>
      </c>
      <c r="M27" s="1065">
        <f>Application!G725</f>
        <v>6</v>
      </c>
      <c r="N27" s="1071">
        <f>Application!AC725</f>
        <v>0.4</v>
      </c>
      <c r="O27" s="1071">
        <f>IF(Cdlac[[#This Row],[Quantity]]&gt;0,IF(Cdlac[[#This Row],[Federal]],30%,IF(AND(OR(NOT($G$38),$G$38=""),$G$43),40%,Cdlac[[#This Row],[iAMI]])),"")</f>
        <v>0.4</v>
      </c>
      <c r="P27" s="1065" cm="1">
        <f t="array" ref="P27">IF(Cdlac[[#This Row],[Quantity]]&gt;0,INDEX(TcacRents,$P$18,Cdlac[[#This Row],[Bedrooms]]+1)*Cdlac[[#This Row],[AMI]],"")</f>
        <v>1507.2</v>
      </c>
      <c r="Q27" s="1164"/>
      <c r="R27" s="1065" cm="1">
        <f t="array" ref="R27">IF(Cdlac[[#This Row],[Quantity]]&gt;0,INDEX(HudFmrs,$P$18,Cdlac[[#This Row],[Bedrooms]]+1),"")</f>
        <v>2975</v>
      </c>
      <c r="S27" s="1065">
        <f>IF(Cdlac[[#This Row],[Quantity]]&gt;0,MAX(0,Cdlac[[#This Row],[Fair Market Rent]]-IF(AND($G$37,$G$38,$G$38&lt;&gt;"",NOT(Cdlac[[#This Row],[Federal]]),Cdlac[[#This Row],[Preservation Rent]]&lt;&gt;""),Cdlac[[#This Row],[Preservation Rent]],Cdlac[[#This Row],[Restricted Rent]])),"")</f>
        <v>1467.8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v>
      </c>
      <c r="N28" s="1071">
        <f>Application!AC726</f>
        <v>0.4</v>
      </c>
      <c r="O28" s="1071">
        <f>IF(Cdlac[[#This Row],[Quantity]]&gt;0,IF(Cdlac[[#This Row],[Federal]],30%,IF(AND(OR(NOT($G$38),$G$38=""),$G$43),40%,Cdlac[[#This Row],[iAMI]])),"")</f>
        <v>0.4</v>
      </c>
      <c r="P28" s="1065" cm="1">
        <f t="array" ref="P28">IF(Cdlac[[#This Row],[Quantity]]&gt;0,INDEX(TcacRents,$P$18,Cdlac[[#This Row],[Bedrooms]]+1)*Cdlac[[#This Row],[AMI]],"")</f>
        <v>1808.8000000000002</v>
      </c>
      <c r="Q28" s="1164"/>
      <c r="R28" s="1065" cm="1">
        <f t="array" ref="R28">IF(Cdlac[[#This Row],[Quantity]]&gt;0,INDEX(HudFmrs,$P$18,Cdlac[[#This Row],[Bedrooms]]+1),"")</f>
        <v>3446</v>
      </c>
      <c r="S28" s="1065">
        <f>IF(Cdlac[[#This Row],[Quantity]]&gt;0,MAX(0,Cdlac[[#This Row],[Fair Market Rent]]-IF(AND($G$37,$G$38,$G$38&lt;&gt;"",NOT(Cdlac[[#This Row],[Federal]]),Cdlac[[#This Row],[Preservation Rent]]&lt;&gt;""),Cdlac[[#This Row],[Preservation Rent]],Cdlac[[#This Row],[Restricted Rent]])),"")</f>
        <v>1637.1999999999998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1586</v>
      </c>
      <c r="D29" s="2684"/>
      <c r="E29" s="1089">
        <f>SUM(E24:E28)</f>
        <v>128</v>
      </c>
      <c r="F29" s="1089">
        <f>SUM(F24:F28)</f>
        <v>128</v>
      </c>
      <c r="G29" s="1090">
        <f>SUMPRODUCT(D24:D28,F24:F28)</f>
        <v>149.6</v>
      </c>
      <c r="H29" s="1074"/>
      <c r="I29" s="1074"/>
      <c r="L29" s="1044">
        <f>IFERROR(MIN(4,MATCH(Application!B727,UnitSizes,0)-1),"")</f>
        <v>3</v>
      </c>
      <c r="M29" s="1065">
        <f>Application!G727</f>
        <v>1</v>
      </c>
      <c r="N29" s="1071">
        <f>Application!AC727</f>
        <v>0.4</v>
      </c>
      <c r="O29" s="1071">
        <f>IF(Cdlac[[#This Row],[Quantity]]&gt;0,IF(Cdlac[[#This Row],[Federal]],30%,IF(AND(OR(NOT($G$38),$G$38=""),$G$43),40%,Cdlac[[#This Row],[iAMI]])),"")</f>
        <v>0.4</v>
      </c>
      <c r="P29" s="1065" cm="1">
        <f t="array" ref="P29">IF(Cdlac[[#This Row],[Quantity]]&gt;0,INDEX(TcacRents,$P$18,Cdlac[[#This Row],[Bedrooms]]+1)*Cdlac[[#This Row],[AMI]],"")</f>
        <v>2088.8000000000002</v>
      </c>
      <c r="Q29" s="1164"/>
      <c r="R29" s="1065" cm="1">
        <f t="array" ref="R29">IF(Cdlac[[#This Row],[Quantity]]&gt;0,INDEX(HudFmrs,$P$18,Cdlac[[#This Row],[Bedrooms]]+1),"")</f>
        <v>4477</v>
      </c>
      <c r="S29" s="1065">
        <f>IF(Cdlac[[#This Row],[Quantity]]&gt;0,MAX(0,Cdlac[[#This Row],[Fair Market Rent]]-IF(AND($G$37,$G$38,$G$38&lt;&gt;"",NOT(Cdlac[[#This Row],[Federal]]),Cdlac[[#This Row],[Preservation Rent]]&lt;&gt;""),Cdlac[[#This Row],[Preservation Rent]],Cdlac[[#This Row],[Restricted Rent]])),"")</f>
        <v>2388.1999999999998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3</v>
      </c>
      <c r="N30" s="1071">
        <f>Application!AC728</f>
        <v>0.4</v>
      </c>
      <c r="O30" s="1071">
        <f>IF(Cdlac[[#This Row],[Quantity]]&gt;0,IF(Cdlac[[#This Row],[Federal]],30%,IF(AND(OR(NOT($G$38),$G$38=""),$G$43),40%,Cdlac[[#This Row],[iAMI]])),"")</f>
        <v>0.3</v>
      </c>
      <c r="P30" s="1065" cm="1">
        <f t="array" ref="P30">IF(Cdlac[[#This Row],[Quantity]]&gt;0,INDEX(TcacRents,$P$18,Cdlac[[#This Row],[Bedrooms]]+1)*Cdlac[[#This Row],[AMI]],"")</f>
        <v>1356.6</v>
      </c>
      <c r="Q30" s="1164"/>
      <c r="R30" s="1065" cm="1">
        <f t="array" ref="R30">IF(Cdlac[[#This Row],[Quantity]]&gt;0,INDEX(HudFmrs,$P$18,Cdlac[[#This Row],[Bedrooms]]+1),"")</f>
        <v>3446</v>
      </c>
      <c r="S30" s="1065">
        <f>IF(Cdlac[[#This Row],[Quantity]]&gt;0,MAX(0,Cdlac[[#This Row],[Fair Market Rent]]-IF(AND($G$37,$G$38,$G$38&lt;&gt;"",NOT(Cdlac[[#This Row],[Federal]]),Cdlac[[#This Row],[Preservation Rent]]&lt;&gt;""),Cdlac[[#This Row],[Preservation Rent]],Cdlac[[#This Row],[Restricted Rent]])),"")</f>
        <v>2089.4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1986</v>
      </c>
      <c r="G31" s="1114">
        <f>G29</f>
        <v>149.6</v>
      </c>
      <c r="H31" s="1074"/>
      <c r="I31" s="1074"/>
      <c r="L31" s="1044">
        <f>IFERROR(MIN(4,MATCH(Application!B729,UnitSizes,0)-1),"")</f>
        <v>3</v>
      </c>
      <c r="M31" s="1065">
        <f>Application!G729</f>
        <v>3</v>
      </c>
      <c r="N31" s="1071">
        <f>Application!AC729</f>
        <v>0.4</v>
      </c>
      <c r="O31" s="1071">
        <f>IF(Cdlac[[#This Row],[Quantity]]&gt;0,IF(Cdlac[[#This Row],[Federal]],30%,IF(AND(OR(NOT($G$38),$G$38=""),$G$43),40%,Cdlac[[#This Row],[iAMI]])),"")</f>
        <v>0.3</v>
      </c>
      <c r="P31" s="1065" cm="1">
        <f t="array" ref="P31">IF(Cdlac[[#This Row],[Quantity]]&gt;0,INDEX(TcacRents,$P$18,Cdlac[[#This Row],[Bedrooms]]+1)*Cdlac[[#This Row],[AMI]],"")</f>
        <v>1566.6</v>
      </c>
      <c r="Q31" s="1164"/>
      <c r="R31" s="1065" cm="1">
        <f t="array" ref="R31">IF(Cdlac[[#This Row],[Quantity]]&gt;0,INDEX(HudFmrs,$P$18,Cdlac[[#This Row],[Bedrooms]]+1),"")</f>
        <v>4477</v>
      </c>
      <c r="S31" s="1065">
        <f>IF(Cdlac[[#This Row],[Quantity]]&gt;0,MAX(0,Cdlac[[#This Row],[Fair Market Rent]]-IF(AND($G$37,$G$38,$G$38&lt;&gt;"",NOT(Cdlac[[#This Row],[Federal]]),Cdlac[[#This Row],[Preservation Rent]]&lt;&gt;""),Cdlac[[#This Row],[Preservation Rent]],Cdlac[[#This Row],[Restricted Rent]])),"")</f>
        <v>2910.4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1</v>
      </c>
    </row>
    <row r="32" spans="1:21" ht="15" customHeight="1">
      <c r="A32" s="1074"/>
      <c r="E32" s="1117" t="s">
        <v>1945</v>
      </c>
      <c r="F32" s="1113" t="s">
        <v>1993</v>
      </c>
      <c r="G32" s="1115">
        <v>50000</v>
      </c>
      <c r="H32" s="1074"/>
      <c r="I32" s="1074"/>
      <c r="L32" s="1044">
        <f>IFERROR(MIN(4,MATCH(Application!B730,UnitSizes,0)-1),"")</f>
        <v>0</v>
      </c>
      <c r="M32" s="1065">
        <f>Application!G730</f>
        <v>4</v>
      </c>
      <c r="N32" s="1071">
        <f>Application!AC730</f>
        <v>0.5</v>
      </c>
      <c r="O32" s="1071">
        <f>IF(Cdlac[[#This Row],[Quantity]]&gt;0,IF(Cdlac[[#This Row],[Federal]],30%,IF(AND(OR(NOT($G$38),$G$38=""),$G$43),40%,Cdlac[[#This Row],[iAMI]])),"")</f>
        <v>0.5</v>
      </c>
      <c r="P32" s="1065" cm="1">
        <f t="array" ref="P32">IF(Cdlac[[#This Row],[Quantity]]&gt;0,INDEX(TcacRents,$P$18,Cdlac[[#This Row],[Bedrooms]]+1)*Cdlac[[#This Row],[AMI]],"")</f>
        <v>1758</v>
      </c>
      <c r="Q32" s="1164"/>
      <c r="R32" s="1065" cm="1">
        <f t="array" ref="R32">IF(Cdlac[[#This Row],[Quantity]]&gt;0,INDEX(HudFmrs,$P$18,Cdlac[[#This Row],[Bedrooms]]+1),"")</f>
        <v>2608</v>
      </c>
      <c r="S32" s="1065">
        <f>IF(Cdlac[[#This Row],[Quantity]]&gt;0,MAX(0,Cdlac[[#This Row],[Fair Market Rent]]-IF(AND($G$37,$G$38,$G$38&lt;&gt;"",NOT(Cdlac[[#This Row],[Federal]]),Cdlac[[#This Row],[Preservation Rent]]&lt;&gt;""),Cdlac[[#This Row],[Preservation Rent]],Cdlac[[#This Row],[Restricted Rent]])),"")</f>
        <v>850</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7480000</v>
      </c>
      <c r="H33" s="1074"/>
      <c r="I33" s="1074"/>
      <c r="L33" s="1044">
        <f>IFERROR(MIN(4,MATCH(Application!B731,UnitSizes,0)-1),"")</f>
        <v>1</v>
      </c>
      <c r="M33" s="1065">
        <f>Application!G731</f>
        <v>7</v>
      </c>
      <c r="N33" s="1071">
        <f>Application!AC731</f>
        <v>0.5</v>
      </c>
      <c r="O33" s="1071">
        <f>IF(Cdlac[[#This Row],[Quantity]]&gt;0,IF(Cdlac[[#This Row],[Federal]],30%,IF(AND(OR(NOT($G$38),$G$38=""),$G$43),40%,Cdlac[[#This Row],[iAMI]])),"")</f>
        <v>0.5</v>
      </c>
      <c r="P33" s="1065" cm="1">
        <f t="array" ref="P33">IF(Cdlac[[#This Row],[Quantity]]&gt;0,INDEX(TcacRents,$P$18,Cdlac[[#This Row],[Bedrooms]]+1)*Cdlac[[#This Row],[AMI]],"")</f>
        <v>1884</v>
      </c>
      <c r="Q33" s="1164"/>
      <c r="R33" s="1065" cm="1">
        <f t="array" ref="R33">IF(Cdlac[[#This Row],[Quantity]]&gt;0,INDEX(HudFmrs,$P$18,Cdlac[[#This Row],[Bedrooms]]+1),"")</f>
        <v>2975</v>
      </c>
      <c r="S33" s="1065">
        <f>IF(Cdlac[[#This Row],[Quantity]]&gt;0,MAX(0,Cdlac[[#This Row],[Fair Market Rent]]-IF(AND($G$37,$G$38,$G$38&lt;&gt;"",NOT(Cdlac[[#This Row],[Federal]]),Cdlac[[#This Row],[Preservation Rent]]&lt;&gt;""),Cdlac[[#This Row],[Preservation Rent]],Cdlac[[#This Row],[Restricted Rent]])),"")</f>
        <v>1091</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2</v>
      </c>
      <c r="M34" s="1065">
        <f>Application!G732</f>
        <v>2</v>
      </c>
      <c r="N34" s="1071">
        <f>Application!AC732</f>
        <v>0.5</v>
      </c>
      <c r="O34" s="1071">
        <f>IF(Cdlac[[#This Row],[Quantity]]&gt;0,IF(Cdlac[[#This Row],[Federal]],30%,IF(AND(OR(NOT($G$38),$G$38=""),$G$43),40%,Cdlac[[#This Row],[iAMI]])),"")</f>
        <v>0.5</v>
      </c>
      <c r="P34" s="1065" cm="1">
        <f t="array" ref="P34">IF(Cdlac[[#This Row],[Quantity]]&gt;0,INDEX(TcacRents,$P$18,Cdlac[[#This Row],[Bedrooms]]+1)*Cdlac[[#This Row],[AMI]],"")</f>
        <v>2261</v>
      </c>
      <c r="Q34" s="1164"/>
      <c r="R34" s="1065" cm="1">
        <f t="array" ref="R34">IF(Cdlac[[#This Row],[Quantity]]&gt;0,INDEX(HudFmrs,$P$18,Cdlac[[#This Row],[Bedrooms]]+1),"")</f>
        <v>3446</v>
      </c>
      <c r="S34" s="1065">
        <f>IF(Cdlac[[#This Row],[Quantity]]&gt;0,MAX(0,Cdlac[[#This Row],[Fair Market Rent]]-IF(AND($G$37,$G$38,$G$38&lt;&gt;"",NOT(Cdlac[[#This Row],[Federal]]),Cdlac[[#This Row],[Preservation Rent]]&lt;&gt;""),Cdlac[[#This Row],[Preservation Rent]],Cdlac[[#This Row],[Restricted Rent]])),"")</f>
        <v>1185</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2</v>
      </c>
      <c r="N35" s="1071">
        <f>Application!AC733</f>
        <v>0.5</v>
      </c>
      <c r="O35" s="1071">
        <f>IF(Cdlac[[#This Row],[Quantity]]&gt;0,IF(Cdlac[[#This Row],[Federal]],30%,IF(AND(OR(NOT($G$38),$G$38=""),$G$43),40%,Cdlac[[#This Row],[iAMI]])),"")</f>
        <v>0.5</v>
      </c>
      <c r="P35" s="1065" cm="1">
        <f t="array" ref="P35">IF(Cdlac[[#This Row],[Quantity]]&gt;0,INDEX(TcacRents,$P$18,Cdlac[[#This Row],[Bedrooms]]+1)*Cdlac[[#This Row],[AMI]],"")</f>
        <v>2611</v>
      </c>
      <c r="Q35" s="1164"/>
      <c r="R35" s="1065" cm="1">
        <f t="array" ref="R35">IF(Cdlac[[#This Row],[Quantity]]&gt;0,INDEX(HudFmrs,$P$18,Cdlac[[#This Row],[Bedrooms]]+1),"")</f>
        <v>4477</v>
      </c>
      <c r="S35" s="1065">
        <f>IF(Cdlac[[#This Row],[Quantity]]&gt;0,MAX(0,Cdlac[[#This Row],[Fair Market Rent]]-IF(AND($G$37,$G$38,$G$38&lt;&gt;"",NOT(Cdlac[[#This Row],[Federal]]),Cdlac[[#This Row],[Preservation Rent]]&lt;&gt;""),Cdlac[[#This Row],[Preservation Rent]],Cdlac[[#This Row],[Restricted Rent]])),"")</f>
        <v>1866</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f>IFERROR(MIN(4,MATCH(Application!B734,UnitSizes,0)-1),"")</f>
        <v>2</v>
      </c>
      <c r="M36" s="1065">
        <f>Application!G734</f>
        <v>2</v>
      </c>
      <c r="N36" s="1071">
        <f>Application!AC734</f>
        <v>0.5</v>
      </c>
      <c r="O36" s="1071">
        <f>IF(Cdlac[[#This Row],[Quantity]]&gt;0,IF(Cdlac[[#This Row],[Federal]],30%,IF(AND(OR(NOT($G$38),$G$38=""),$G$43),40%,Cdlac[[#This Row],[iAMI]])),"")</f>
        <v>0.3</v>
      </c>
      <c r="P36" s="1065" cm="1">
        <f t="array" ref="P36">IF(Cdlac[[#This Row],[Quantity]]&gt;0,INDEX(TcacRents,$P$18,Cdlac[[#This Row],[Bedrooms]]+1)*Cdlac[[#This Row],[AMI]],"")</f>
        <v>1356.6</v>
      </c>
      <c r="Q36" s="1164"/>
      <c r="R36" s="1065" cm="1">
        <f t="array" ref="R36">IF(Cdlac[[#This Row],[Quantity]]&gt;0,INDEX(HudFmrs,$P$18,Cdlac[[#This Row],[Bedrooms]]+1),"")</f>
        <v>3446</v>
      </c>
      <c r="S36" s="1065">
        <f>IF(Cdlac[[#This Row],[Quantity]]&gt;0,MAX(0,Cdlac[[#This Row],[Fair Market Rent]]-IF(AND($G$37,$G$38,$G$38&lt;&gt;"",NOT(Cdlac[[#This Row],[Federal]]),Cdlac[[#This Row],[Preservation Rent]]&lt;&gt;""),Cdlac[[#This Row],[Preservation Rent]],Cdlac[[#This Row],[Restricted Rent]])),"")</f>
        <v>2089.4</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1</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f>IFERROR(MIN(4,MATCH(Application!B735,UnitSizes,0)-1),"")</f>
        <v>3</v>
      </c>
      <c r="M37" s="1065">
        <f>Application!G735</f>
        <v>2</v>
      </c>
      <c r="N37" s="1071">
        <f>Application!AC735</f>
        <v>0.5</v>
      </c>
      <c r="O37" s="1071">
        <f>IF(Cdlac[[#This Row],[Quantity]]&gt;0,IF(Cdlac[[#This Row],[Federal]],30%,IF(AND(OR(NOT($G$38),$G$38=""),$G$43),40%,Cdlac[[#This Row],[iAMI]])),"")</f>
        <v>0.3</v>
      </c>
      <c r="P37" s="1065" cm="1">
        <f t="array" ref="P37">IF(Cdlac[[#This Row],[Quantity]]&gt;0,INDEX(TcacRents,$P$18,Cdlac[[#This Row],[Bedrooms]]+1)*Cdlac[[#This Row],[AMI]],"")</f>
        <v>1566.6</v>
      </c>
      <c r="Q37" s="1164"/>
      <c r="R37" s="1065" cm="1">
        <f t="array" ref="R37">IF(Cdlac[[#This Row],[Quantity]]&gt;0,INDEX(HudFmrs,$P$18,Cdlac[[#This Row],[Bedrooms]]+1),"")</f>
        <v>4477</v>
      </c>
      <c r="S37" s="1065">
        <f>IF(Cdlac[[#This Row],[Quantity]]&gt;0,MAX(0,Cdlac[[#This Row],[Fair Market Rent]]-IF(AND($G$37,$G$38,$G$38&lt;&gt;"",NOT(Cdlac[[#This Row],[Federal]]),Cdlac[[#This Row],[Preservation Rent]]&lt;&gt;""),Cdlac[[#This Row],[Preservation Rent]],Cdlac[[#This Row],[Restricted Rent]])),"")</f>
        <v>2910.4</v>
      </c>
      <c r="T37" s="1044">
        <f>IF(Cdlac[[#This Row],[Quantity]]&gt;0,AND(Application!AK735&lt;&gt;"N/A",Application!AK735&lt;&gt;"")*Cdlac[[#This Row],[Quantity]],"")</f>
        <v>0</v>
      </c>
      <c r="U37" s="1044" t="b">
        <f>AND('Subsidy Contract Calculation'!F21&gt;0,OR('Subsidy Contract Calculation'!C21="Federal",'Subsidy Contract Calculation'!C21="Local - Approved by ED"),Cdlac[[#This Row],[Quantity]]&gt;0)</f>
        <v>1</v>
      </c>
    </row>
    <row r="38" spans="1:21" ht="15" customHeight="1">
      <c r="E38" s="1084" t="s">
        <v>2261</v>
      </c>
      <c r="G38" s="1163"/>
      <c r="L38" s="1044">
        <f>IFERROR(MIN(4,MATCH(Application!B736,UnitSizes,0)-1),"")</f>
        <v>0</v>
      </c>
      <c r="M38" s="1065">
        <f>Application!G736</f>
        <v>2</v>
      </c>
      <c r="N38" s="1071">
        <f>Application!AC736</f>
        <v>0.6</v>
      </c>
      <c r="O38" s="1071">
        <f>IF(Cdlac[[#This Row],[Quantity]]&gt;0,IF(Cdlac[[#This Row],[Federal]],30%,IF(AND(OR(NOT($G$38),$G$38=""),$G$43),40%,Cdlac[[#This Row],[iAMI]])),"")</f>
        <v>0.6</v>
      </c>
      <c r="P38" s="1065" cm="1">
        <f t="array" ref="P38">IF(Cdlac[[#This Row],[Quantity]]&gt;0,INDEX(TcacRents,$P$18,Cdlac[[#This Row],[Bedrooms]]+1)*Cdlac[[#This Row],[AMI]],"")</f>
        <v>2109.6</v>
      </c>
      <c r="Q38" s="1164"/>
      <c r="R38" s="1065" cm="1">
        <f t="array" ref="R38">IF(Cdlac[[#This Row],[Quantity]]&gt;0,INDEX(HudFmrs,$P$18,Cdlac[[#This Row],[Bedrooms]]+1),"")</f>
        <v>2608</v>
      </c>
      <c r="S38" s="1065">
        <f>IF(Cdlac[[#This Row],[Quantity]]&gt;0,MAX(0,Cdlac[[#This Row],[Fair Market Rent]]-IF(AND($G$37,$G$38,$G$38&lt;&gt;"",NOT(Cdlac[[#This Row],[Federal]]),Cdlac[[#This Row],[Preservation Rent]]&lt;&gt;""),Cdlac[[#This Row],[Preservation Rent]],Cdlac[[#This Row],[Restricted Rent]])),"")</f>
        <v>498.40000000000009</v>
      </c>
      <c r="T38" s="1044">
        <f>IF(Cdlac[[#This Row],[Quantity]]&gt;0,AND(Application!AK736&lt;&gt;"N/A",Application!AK736&lt;&gt;"")*Cdlac[[#This Row],[Quantity]],"")</f>
        <v>0</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f>IFERROR(MIN(4,MATCH(Application!B737,UnitSizes,0)-1),"")</f>
        <v>1</v>
      </c>
      <c r="M39" s="1065">
        <f>Application!G737</f>
        <v>15</v>
      </c>
      <c r="N39" s="1071">
        <f>Application!AC737</f>
        <v>0.6</v>
      </c>
      <c r="O39" s="1071">
        <f>IF(Cdlac[[#This Row],[Quantity]]&gt;0,IF(Cdlac[[#This Row],[Federal]],30%,IF(AND(OR(NOT($G$38),$G$38=""),$G$43),40%,Cdlac[[#This Row],[iAMI]])),"")</f>
        <v>0.6</v>
      </c>
      <c r="P39" s="1065" cm="1">
        <f t="array" ref="P39">IF(Cdlac[[#This Row],[Quantity]]&gt;0,INDEX(TcacRents,$P$18,Cdlac[[#This Row],[Bedrooms]]+1)*Cdlac[[#This Row],[AMI]],"")</f>
        <v>2260.7999999999997</v>
      </c>
      <c r="Q39" s="1164"/>
      <c r="R39" s="1065" cm="1">
        <f t="array" ref="R39">IF(Cdlac[[#This Row],[Quantity]]&gt;0,INDEX(HudFmrs,$P$18,Cdlac[[#This Row],[Bedrooms]]+1),"")</f>
        <v>2975</v>
      </c>
      <c r="S39" s="1065">
        <f>IF(Cdlac[[#This Row],[Quantity]]&gt;0,MAX(0,Cdlac[[#This Row],[Fair Market Rent]]-IF(AND($G$37,$G$38,$G$38&lt;&gt;"",NOT(Cdlac[[#This Row],[Federal]]),Cdlac[[#This Row],[Preservation Rent]]&lt;&gt;""),Cdlac[[#This Row],[Preservation Rent]],Cdlac[[#This Row],[Restricted Rent]])),"")</f>
        <v>714.20000000000027</v>
      </c>
      <c r="T39" s="1044">
        <f>IF(Cdlac[[#This Row],[Quantity]]&gt;0,AND(Application!AK737&lt;&gt;"N/A",Application!AK737&lt;&gt;"")*Cdlac[[#This Row],[Quantity]],"")</f>
        <v>0</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f>IFERROR(MIN(4,MATCH(Application!B738,UnitSizes,0)-1),"")</f>
        <v>2</v>
      </c>
      <c r="M40" s="1065">
        <f>Application!G738</f>
        <v>4</v>
      </c>
      <c r="N40" s="1071">
        <f>Application!AC738</f>
        <v>0.6</v>
      </c>
      <c r="O40" s="1071">
        <f>IF(Cdlac[[#This Row],[Quantity]]&gt;0,IF(Cdlac[[#This Row],[Federal]],30%,IF(AND(OR(NOT($G$38),$G$38=""),$G$43),40%,Cdlac[[#This Row],[iAMI]])),"")</f>
        <v>0.6</v>
      </c>
      <c r="P40" s="1065" cm="1">
        <f t="array" ref="P40">IF(Cdlac[[#This Row],[Quantity]]&gt;0,INDEX(TcacRents,$P$18,Cdlac[[#This Row],[Bedrooms]]+1)*Cdlac[[#This Row],[AMI]],"")</f>
        <v>2713.2</v>
      </c>
      <c r="Q40" s="1164"/>
      <c r="R40" s="1065" cm="1">
        <f t="array" ref="R40">IF(Cdlac[[#This Row],[Quantity]]&gt;0,INDEX(HudFmrs,$P$18,Cdlac[[#This Row],[Bedrooms]]+1),"")</f>
        <v>3446</v>
      </c>
      <c r="S40" s="1065">
        <f>IF(Cdlac[[#This Row],[Quantity]]&gt;0,MAX(0,Cdlac[[#This Row],[Fair Market Rent]]-IF(AND($G$37,$G$38,$G$38&lt;&gt;"",NOT(Cdlac[[#This Row],[Federal]]),Cdlac[[#This Row],[Preservation Rent]]&lt;&gt;""),Cdlac[[#This Row],[Preservation Rent]],Cdlac[[#This Row],[Restricted Rent]])),"")</f>
        <v>732.80000000000018</v>
      </c>
      <c r="T40" s="1044">
        <f>IF(Cdlac[[#This Row],[Quantity]]&gt;0,AND(Application!AK738&lt;&gt;"N/A",Application!AK738&lt;&gt;"")*Cdlac[[#This Row],[Quantity]],"")</f>
        <v>0</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f>IFERROR(MIN(4,MATCH(Application!B739,UnitSizes,0)-1),"")</f>
        <v>3</v>
      </c>
      <c r="M41" s="1065">
        <f>Application!G739</f>
        <v>4</v>
      </c>
      <c r="N41" s="1071">
        <f>Application!AC739</f>
        <v>0.6</v>
      </c>
      <c r="O41" s="1071">
        <f>IF(Cdlac[[#This Row],[Quantity]]&gt;0,IF(Cdlac[[#This Row],[Federal]],30%,IF(AND(OR(NOT($G$38),$G$38=""),$G$43),40%,Cdlac[[#This Row],[iAMI]])),"")</f>
        <v>0.6</v>
      </c>
      <c r="P41" s="1065" cm="1">
        <f t="array" ref="P41">IF(Cdlac[[#This Row],[Quantity]]&gt;0,INDEX(TcacRents,$P$18,Cdlac[[#This Row],[Bedrooms]]+1)*Cdlac[[#This Row],[AMI]],"")</f>
        <v>3133.2</v>
      </c>
      <c r="Q41" s="1164"/>
      <c r="R41" s="1065" cm="1">
        <f t="array" ref="R41">IF(Cdlac[[#This Row],[Quantity]]&gt;0,INDEX(HudFmrs,$P$18,Cdlac[[#This Row],[Bedrooms]]+1),"")</f>
        <v>4477</v>
      </c>
      <c r="S41" s="1065">
        <f>IF(Cdlac[[#This Row],[Quantity]]&gt;0,MAX(0,Cdlac[[#This Row],[Fair Market Rent]]-IF(AND($G$37,$G$38,$G$38&lt;&gt;"",NOT(Cdlac[[#This Row],[Federal]]),Cdlac[[#This Row],[Preservation Rent]]&lt;&gt;""),Cdlac[[#This Row],[Preservation Rent]],Cdlac[[#This Row],[Restricted Rent]])),"")</f>
        <v>1343.8000000000002</v>
      </c>
      <c r="T41" s="1044">
        <f>IF(Cdlac[[#This Row],[Quantity]]&gt;0,AND(Application!AK739&lt;&gt;"N/A",Application!AK739&lt;&gt;"")*Cdlac[[#This Row],[Quantity]],"")</f>
        <v>0</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0.43837209302325575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222965.60000000003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40133808.000000007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32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64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32</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320000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64</v>
      </c>
    </row>
    <row r="61" spans="2:21" ht="15" customHeight="1">
      <c r="E61" s="1117" t="s">
        <v>1995</v>
      </c>
      <c r="G61" s="1079">
        <f>ROUNDDOWN(E29*50%,0)</f>
        <v>64</v>
      </c>
    </row>
    <row r="62" spans="2:21" ht="15" customHeight="1">
      <c r="E62" s="1117"/>
      <c r="G62" s="1079"/>
    </row>
    <row r="63" spans="2:21" ht="15" customHeight="1">
      <c r="E63" s="1117" t="s">
        <v>1955</v>
      </c>
      <c r="G63" s="1114">
        <f>MIN(G60:G61)</f>
        <v>64</v>
      </c>
    </row>
    <row r="64" spans="2:21" ht="15" customHeight="1">
      <c r="E64" s="1117" t="s">
        <v>1945</v>
      </c>
      <c r="F64" s="1113" t="s">
        <v>1993</v>
      </c>
      <c r="G64" s="1124">
        <v>20000</v>
      </c>
    </row>
    <row r="65" spans="2:14" ht="15" customHeight="1">
      <c r="E65" s="1118" t="s">
        <v>1977</v>
      </c>
      <c r="F65" s="1046"/>
      <c r="G65" s="1123">
        <f>G63*G64</f>
        <v>1280000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545</v>
      </c>
    </row>
    <row r="72" spans="2:14" ht="15" customHeight="1">
      <c r="C72" s="1077" t="s">
        <v>1969</v>
      </c>
      <c r="G72" s="1044" t="str">
        <f>Application!T193</f>
        <v>Highest Resource</v>
      </c>
      <c r="L72" s="2656" t="s">
        <v>1970</v>
      </c>
      <c r="M72" s="2657"/>
      <c r="N72" s="1131">
        <v>30000</v>
      </c>
    </row>
    <row r="73" spans="2:14" ht="15" customHeight="1">
      <c r="C73" s="2658" t="s">
        <v>2263</v>
      </c>
      <c r="D73" s="2658"/>
      <c r="E73" s="2658"/>
      <c r="F73" s="2658"/>
      <c r="G73" s="1043" t="s">
        <v>669</v>
      </c>
      <c r="L73" s="2673" t="s">
        <v>1938</v>
      </c>
      <c r="M73" s="2674"/>
      <c r="N73" s="1132">
        <v>20000</v>
      </c>
    </row>
    <row r="74" spans="2:14" ht="15" customHeight="1" thickBot="1">
      <c r="C74" s="2658"/>
      <c r="D74" s="2658"/>
      <c r="E74" s="2658"/>
      <c r="F74" s="2658"/>
      <c r="L74" s="2648" t="s">
        <v>1971</v>
      </c>
      <c r="M74" s="2649"/>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149.6</v>
      </c>
    </row>
    <row r="80" spans="2:14" ht="15" customHeight="1">
      <c r="D80" s="1046"/>
      <c r="E80" s="1118" t="s">
        <v>2268</v>
      </c>
      <c r="F80" s="1046"/>
      <c r="G80" s="1123">
        <f>G79*G78*G76</f>
        <v>4488000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149.6</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149.6</v>
      </c>
    </row>
    <row r="97" spans="2:14" ht="15" customHeight="1">
      <c r="E97" s="1118" t="s">
        <v>1962</v>
      </c>
      <c r="F97" s="1046"/>
      <c r="G97" s="1123">
        <f>G94*G95*G96</f>
        <v>4188800</v>
      </c>
      <c r="L97" s="1127" t="str">
        <f>'Points System'!H638</f>
        <v>(i)</v>
      </c>
      <c r="M97" s="2654" t="s">
        <v>1405</v>
      </c>
      <c r="N97" s="2655"/>
    </row>
    <row r="98" spans="2:14" ht="15" customHeight="1">
      <c r="C98" s="1077"/>
      <c r="G98" s="1114"/>
      <c r="L98" s="1128" t="str">
        <f>'Points System'!H650</f>
        <v>(i)</v>
      </c>
      <c r="M98" s="2650" t="s">
        <v>1957</v>
      </c>
      <c r="N98" s="2651"/>
    </row>
    <row r="99" spans="2:14" ht="15" customHeight="1">
      <c r="E99" s="1084" t="s">
        <v>1998</v>
      </c>
      <c r="G99" s="1126">
        <f>COUNTIFS(L97:L104,"(i)")</f>
        <v>4</v>
      </c>
      <c r="L99" s="1128" t="str">
        <f>'Points System'!H685</f>
        <v>(i)</v>
      </c>
      <c r="M99" s="2650" t="s">
        <v>1958</v>
      </c>
      <c r="N99" s="2651"/>
    </row>
    <row r="100" spans="2:14" ht="15" customHeight="1">
      <c r="E100" s="1084" t="s">
        <v>1945</v>
      </c>
      <c r="F100" s="1113" t="s">
        <v>1993</v>
      </c>
      <c r="G100" s="1124">
        <v>4000</v>
      </c>
      <c r="L100" s="1128" t="str">
        <f>IF(OR('Points System'!H709="(ii)",'Points System'!H709="(i)"),"(i)","N/A")</f>
        <v>N/A</v>
      </c>
      <c r="M100" s="2650" t="s">
        <v>1959</v>
      </c>
      <c r="N100" s="2651"/>
    </row>
    <row r="101" spans="2:14" ht="15" customHeight="1">
      <c r="E101" s="1118" t="s">
        <v>1963</v>
      </c>
      <c r="F101" s="1046"/>
      <c r="G101" s="1123">
        <f>G96*G99*G100</f>
        <v>2393600</v>
      </c>
      <c r="L101" s="1129" t="str">
        <f>'Points System'!H723</f>
        <v>N/A</v>
      </c>
      <c r="M101" s="2650" t="s">
        <v>1431</v>
      </c>
      <c r="N101" s="2651"/>
    </row>
    <row r="102" spans="2:14" ht="15" customHeight="1">
      <c r="L102" s="1128" t="str">
        <f>'Points System'!H735</f>
        <v>N/A</v>
      </c>
      <c r="M102" s="2650" t="s">
        <v>1960</v>
      </c>
      <c r="N102" s="2651"/>
    </row>
    <row r="103" spans="2:14" ht="15" customHeight="1">
      <c r="C103" s="1080" t="s">
        <v>1965</v>
      </c>
      <c r="L103" s="1128" t="str">
        <f>'Points System'!H751</f>
        <v>(i)</v>
      </c>
      <c r="M103" s="2650" t="s">
        <v>1961</v>
      </c>
      <c r="N103" s="2651"/>
    </row>
    <row r="104" spans="2:14" ht="15" customHeight="1" thickBot="1">
      <c r="C104" s="1077" t="s">
        <v>1966</v>
      </c>
      <c r="G104" s="1043"/>
      <c r="L104" s="1130" t="str">
        <f>'Points System'!H763</f>
        <v>(ii)</v>
      </c>
      <c r="M104" s="2652" t="s">
        <v>1434</v>
      </c>
      <c r="N104" s="2653"/>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149.6</v>
      </c>
    </row>
    <row r="112" spans="2:14" ht="15" customHeight="1">
      <c r="E112" s="1084" t="s">
        <v>1945</v>
      </c>
      <c r="F112" s="1113" t="s">
        <v>1993</v>
      </c>
      <c r="G112" s="1124">
        <v>25000</v>
      </c>
    </row>
    <row r="113" spans="2:9" ht="15" customHeight="1">
      <c r="E113" s="1118" t="s">
        <v>1964</v>
      </c>
      <c r="F113" s="1046"/>
      <c r="G113" s="1123">
        <f>G109*G112*G96</f>
        <v>3740000</v>
      </c>
    </row>
    <row r="114" spans="2:9" ht="15" customHeight="1">
      <c r="C114" s="1077"/>
      <c r="E114" s="1077"/>
    </row>
    <row r="115" spans="2:9" ht="15" customHeight="1">
      <c r="E115" s="1118" t="s">
        <v>2273</v>
      </c>
      <c r="G115" s="1123">
        <f>G113+G101+G97</f>
        <v>10322400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2228</v>
      </c>
      <c r="D119" s="2685"/>
      <c r="E119" s="2685"/>
      <c r="F119" s="2685"/>
    </row>
    <row r="120" spans="2:9" ht="15" customHeight="1">
      <c r="C120" s="2685"/>
      <c r="D120" s="2685"/>
      <c r="E120" s="2685"/>
      <c r="F120" s="2685"/>
      <c r="G120" s="1043" t="s">
        <v>545</v>
      </c>
    </row>
    <row r="121" spans="2:9" ht="15" customHeight="1"/>
    <row r="122" spans="2:9" ht="15" customHeight="1">
      <c r="C122" s="1044" t="s">
        <v>2230</v>
      </c>
      <c r="G122" s="2687" t="s">
        <v>2735</v>
      </c>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2001</v>
      </c>
      <c r="G131" s="1078">
        <f>MEDIAN((Application!CU160:CU217))</f>
        <v>489600</v>
      </c>
    </row>
    <row r="132" spans="2:9">
      <c r="D132" s="1046"/>
      <c r="E132" s="1118" t="s">
        <v>2003</v>
      </c>
      <c r="F132" s="1134"/>
      <c r="G132" s="1135">
        <f>((G130-G131)/G131)*0.25</f>
        <v>0.127859477124183</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2" t="s">
        <v>2276</v>
      </c>
      <c r="D138" s="2682"/>
      <c r="E138" s="2682"/>
      <c r="F138" s="2682"/>
    </row>
    <row r="139" spans="2:9">
      <c r="B139" s="1045"/>
      <c r="C139" s="2682"/>
      <c r="D139" s="2682"/>
      <c r="E139" s="2682"/>
      <c r="F139" s="2682"/>
      <c r="G139" s="1043" t="s">
        <v>545</v>
      </c>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7987219.3499999996</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9" workbookViewId="0">
      <selection activeCell="F18" sqref="F18"/>
    </sheetView>
  </sheetViews>
  <sheetFormatPr defaultColWidth="9.1796875" defaultRowHeight="14" zeroHeight="1"/>
  <cols>
    <col min="1" max="2" width="15.6328125" style="304" customWidth="1"/>
    <col min="3" max="3" width="11" style="304" customWidth="1"/>
    <col min="4" max="4" width="15.6328125" style="304" customWidth="1"/>
    <col min="5" max="5" width="3.6328125" style="304" customWidth="1"/>
    <col min="6" max="7" width="15.6328125" style="304" customWidth="1"/>
    <col min="8" max="8" width="3.6328125" style="304" customWidth="1"/>
    <col min="9" max="10" width="15.6328125" style="304" customWidth="1"/>
    <col min="11" max="11" width="3.36328125" style="304" customWidth="1"/>
    <col min="12" max="17" width="15.6328125" style="304" customWidth="1"/>
    <col min="18" max="16384" width="9.179687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84.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12</v>
      </c>
      <c r="C4" s="1162"/>
      <c r="D4" s="428">
        <f>Application!O718</f>
        <v>1005</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12</v>
      </c>
      <c r="C5" s="1162"/>
      <c r="D5" s="428">
        <f>Application!O719</f>
        <v>1071</v>
      </c>
      <c r="E5" s="429"/>
      <c r="F5" s="1083"/>
      <c r="G5" s="428">
        <f t="shared" ref="G5:G38" si="2">F5*B5</f>
        <v>0</v>
      </c>
      <c r="H5" s="429"/>
      <c r="I5" s="428" t="str">
        <f t="shared" si="0"/>
        <v/>
      </c>
      <c r="J5" s="428" t="str">
        <f t="shared" si="1"/>
        <v/>
      </c>
      <c r="K5" s="204"/>
      <c r="L5" s="305"/>
    </row>
    <row r="6" spans="1:12">
      <c r="A6" s="428" t="str">
        <f>Application!B720</f>
        <v>2 Bedrooms</v>
      </c>
      <c r="B6" s="1082">
        <f>Application!G720</f>
        <v>4</v>
      </c>
      <c r="C6" s="1162"/>
      <c r="D6" s="428">
        <f>Application!O720</f>
        <v>1277</v>
      </c>
      <c r="E6" s="429"/>
      <c r="F6" s="1083"/>
      <c r="G6" s="428">
        <f t="shared" si="2"/>
        <v>0</v>
      </c>
      <c r="H6" s="429"/>
      <c r="I6" s="428" t="str">
        <f t="shared" si="0"/>
        <v/>
      </c>
      <c r="J6" s="428" t="str">
        <f t="shared" si="1"/>
        <v/>
      </c>
      <c r="K6" s="204"/>
      <c r="L6" s="305"/>
    </row>
    <row r="7" spans="1:12">
      <c r="A7" s="428" t="str">
        <f>Application!B721</f>
        <v>3 Bedrooms</v>
      </c>
      <c r="B7" s="1082">
        <f>Application!G721</f>
        <v>4</v>
      </c>
      <c r="C7" s="1162"/>
      <c r="D7" s="428">
        <f>Application!O721</f>
        <v>1464</v>
      </c>
      <c r="E7" s="429"/>
      <c r="F7" s="1083"/>
      <c r="G7" s="428">
        <f t="shared" si="2"/>
        <v>0</v>
      </c>
      <c r="H7" s="429"/>
      <c r="I7" s="428" t="str">
        <f t="shared" si="0"/>
        <v/>
      </c>
      <c r="J7" s="428" t="str">
        <f t="shared" si="1"/>
        <v/>
      </c>
      <c r="K7" s="204"/>
      <c r="L7" s="305"/>
    </row>
    <row r="8" spans="1:12">
      <c r="A8" s="428" t="str">
        <f>Application!B722</f>
        <v>2 Bedrooms</v>
      </c>
      <c r="B8" s="1082">
        <f>Application!G722</f>
        <v>16</v>
      </c>
      <c r="C8" s="1162" t="s">
        <v>384</v>
      </c>
      <c r="D8" s="428">
        <f>Application!O722</f>
        <v>1277</v>
      </c>
      <c r="E8" s="429"/>
      <c r="F8" s="1083">
        <v>3715</v>
      </c>
      <c r="G8" s="428">
        <f t="shared" si="2"/>
        <v>59440</v>
      </c>
      <c r="H8" s="429"/>
      <c r="I8" s="428">
        <f t="shared" si="0"/>
        <v>2438</v>
      </c>
      <c r="J8" s="428">
        <f t="shared" si="1"/>
        <v>39008</v>
      </c>
      <c r="K8" s="204"/>
      <c r="L8" s="305"/>
    </row>
    <row r="9" spans="1:12">
      <c r="A9" s="428" t="str">
        <f>Application!B723</f>
        <v>3 Bedrooms</v>
      </c>
      <c r="B9" s="1082">
        <f>Application!G723</f>
        <v>16</v>
      </c>
      <c r="C9" s="1162" t="s">
        <v>384</v>
      </c>
      <c r="D9" s="428">
        <f>Application!O723</f>
        <v>1464</v>
      </c>
      <c r="E9" s="429"/>
      <c r="F9" s="1083">
        <v>4380</v>
      </c>
      <c r="G9" s="428">
        <f t="shared" si="2"/>
        <v>70080</v>
      </c>
      <c r="H9" s="429"/>
      <c r="I9" s="428">
        <f t="shared" si="0"/>
        <v>2916</v>
      </c>
      <c r="J9" s="428">
        <f t="shared" si="1"/>
        <v>46656</v>
      </c>
      <c r="K9" s="204"/>
      <c r="L9" s="305"/>
    </row>
    <row r="10" spans="1:12">
      <c r="A10" s="428" t="str">
        <f>Application!B724</f>
        <v>SRO/Studio</v>
      </c>
      <c r="B10" s="1082">
        <f>Application!G724</f>
        <v>6</v>
      </c>
      <c r="C10" s="1162"/>
      <c r="D10" s="428">
        <f>Application!O724</f>
        <v>1356</v>
      </c>
      <c r="E10" s="429"/>
      <c r="F10" s="1083"/>
      <c r="G10" s="428">
        <f t="shared" si="2"/>
        <v>0</v>
      </c>
      <c r="H10" s="429"/>
      <c r="I10" s="428" t="str">
        <f t="shared" si="0"/>
        <v/>
      </c>
      <c r="J10" s="428" t="str">
        <f t="shared" si="1"/>
        <v/>
      </c>
      <c r="K10" s="204"/>
      <c r="L10" s="305"/>
    </row>
    <row r="11" spans="1:12">
      <c r="A11" s="428" t="str">
        <f>Application!B725</f>
        <v>1 Bedroom</v>
      </c>
      <c r="B11" s="1082">
        <f>Application!G725</f>
        <v>6</v>
      </c>
      <c r="C11" s="1162"/>
      <c r="D11" s="428">
        <f>Application!O725</f>
        <v>1448</v>
      </c>
      <c r="E11" s="429"/>
      <c r="F11" s="1083"/>
      <c r="G11" s="428">
        <f t="shared" si="2"/>
        <v>0</v>
      </c>
      <c r="H11" s="429"/>
      <c r="I11" s="428" t="str">
        <f t="shared" si="0"/>
        <v/>
      </c>
      <c r="J11" s="428" t="str">
        <f t="shared" si="1"/>
        <v/>
      </c>
      <c r="K11" s="204"/>
      <c r="L11" s="305"/>
    </row>
    <row r="12" spans="1:12">
      <c r="A12" s="428" t="str">
        <f>Application!B726</f>
        <v>2 Bedrooms</v>
      </c>
      <c r="B12" s="1082">
        <f>Application!G726</f>
        <v>1</v>
      </c>
      <c r="C12" s="1162"/>
      <c r="D12" s="428">
        <f>Application!O726</f>
        <v>1729</v>
      </c>
      <c r="E12" s="429"/>
      <c r="F12" s="1083"/>
      <c r="G12" s="428">
        <f t="shared" si="2"/>
        <v>0</v>
      </c>
      <c r="H12" s="429"/>
      <c r="I12" s="428" t="str">
        <f t="shared" si="0"/>
        <v/>
      </c>
      <c r="J12" s="428" t="str">
        <f t="shared" si="1"/>
        <v/>
      </c>
      <c r="K12" s="204"/>
      <c r="L12" s="305"/>
    </row>
    <row r="13" spans="1:12">
      <c r="A13" s="428" t="str">
        <f>Application!B727</f>
        <v>3 Bedrooms</v>
      </c>
      <c r="B13" s="1082">
        <f>Application!G727</f>
        <v>1</v>
      </c>
      <c r="C13" s="1162"/>
      <c r="D13" s="428">
        <f>Application!O727</f>
        <v>1986</v>
      </c>
      <c r="E13" s="429"/>
      <c r="F13" s="1083"/>
      <c r="G13" s="428">
        <f t="shared" si="2"/>
        <v>0</v>
      </c>
      <c r="H13" s="429"/>
      <c r="I13" s="428" t="str">
        <f t="shared" si="0"/>
        <v/>
      </c>
      <c r="J13" s="428" t="str">
        <f t="shared" si="1"/>
        <v/>
      </c>
      <c r="K13" s="204"/>
      <c r="L13" s="305"/>
    </row>
    <row r="14" spans="1:12">
      <c r="A14" s="428" t="str">
        <f>Application!B728</f>
        <v>2 Bedrooms</v>
      </c>
      <c r="B14" s="1082">
        <f>Application!G728</f>
        <v>3</v>
      </c>
      <c r="C14" s="1162" t="s">
        <v>384</v>
      </c>
      <c r="D14" s="428">
        <f>Application!O728</f>
        <v>1729</v>
      </c>
      <c r="E14" s="429"/>
      <c r="F14" s="1083">
        <v>3715</v>
      </c>
      <c r="G14" s="428">
        <f t="shared" si="2"/>
        <v>11145</v>
      </c>
      <c r="H14" s="429"/>
      <c r="I14" s="428">
        <f t="shared" si="0"/>
        <v>1986</v>
      </c>
      <c r="J14" s="428">
        <f t="shared" si="1"/>
        <v>5958</v>
      </c>
      <c r="K14" s="204"/>
      <c r="L14" s="305"/>
    </row>
    <row r="15" spans="1:12">
      <c r="A15" s="428" t="str">
        <f>Application!B729</f>
        <v>3 Bedrooms</v>
      </c>
      <c r="B15" s="1082">
        <f>Application!G729</f>
        <v>3</v>
      </c>
      <c r="C15" s="1162" t="s">
        <v>384</v>
      </c>
      <c r="D15" s="428">
        <f>Application!O729</f>
        <v>1986</v>
      </c>
      <c r="E15" s="429"/>
      <c r="F15" s="1083">
        <v>4380</v>
      </c>
      <c r="G15" s="428">
        <f t="shared" si="2"/>
        <v>13140</v>
      </c>
      <c r="H15" s="429"/>
      <c r="I15" s="428">
        <f t="shared" si="0"/>
        <v>2394</v>
      </c>
      <c r="J15" s="428">
        <f t="shared" si="1"/>
        <v>7182</v>
      </c>
      <c r="K15" s="204"/>
      <c r="L15" s="305"/>
    </row>
    <row r="16" spans="1:12">
      <c r="A16" s="428" t="str">
        <f>Application!B730</f>
        <v>SRO/Studio</v>
      </c>
      <c r="B16" s="1082">
        <f>Application!G730</f>
        <v>4</v>
      </c>
      <c r="C16" s="1162"/>
      <c r="D16" s="428">
        <f>Application!O730</f>
        <v>1708</v>
      </c>
      <c r="E16" s="429"/>
      <c r="F16" s="1083"/>
      <c r="G16" s="428">
        <f t="shared" si="2"/>
        <v>0</v>
      </c>
      <c r="H16" s="429"/>
      <c r="I16" s="428" t="str">
        <f t="shared" si="0"/>
        <v/>
      </c>
      <c r="J16" s="428" t="str">
        <f t="shared" si="1"/>
        <v/>
      </c>
      <c r="K16" s="204"/>
      <c r="L16" s="305"/>
    </row>
    <row r="17" spans="1:12">
      <c r="A17" s="428" t="str">
        <f>Application!B731</f>
        <v>1 Bedroom</v>
      </c>
      <c r="B17" s="1082">
        <f>Application!G731</f>
        <v>7</v>
      </c>
      <c r="C17" s="1162"/>
      <c r="D17" s="428">
        <f>Application!O731</f>
        <v>1825</v>
      </c>
      <c r="E17" s="429"/>
      <c r="F17" s="1083"/>
      <c r="G17" s="428">
        <f t="shared" si="2"/>
        <v>0</v>
      </c>
      <c r="H17" s="429"/>
      <c r="I17" s="428" t="str">
        <f t="shared" si="0"/>
        <v/>
      </c>
      <c r="J17" s="428" t="str">
        <f t="shared" si="1"/>
        <v/>
      </c>
      <c r="K17" s="204"/>
      <c r="L17" s="305"/>
    </row>
    <row r="18" spans="1:12">
      <c r="A18" s="428" t="str">
        <f>Application!B732</f>
        <v>2 Bedrooms</v>
      </c>
      <c r="B18" s="1082">
        <f>Application!G732</f>
        <v>2</v>
      </c>
      <c r="C18" s="1162"/>
      <c r="D18" s="428">
        <f>Application!O732</f>
        <v>2181</v>
      </c>
      <c r="E18" s="429"/>
      <c r="F18" s="1083"/>
      <c r="G18" s="428">
        <f t="shared" si="2"/>
        <v>0</v>
      </c>
      <c r="H18" s="429"/>
      <c r="I18" s="428" t="str">
        <f t="shared" si="0"/>
        <v/>
      </c>
      <c r="J18" s="428" t="str">
        <f t="shared" si="1"/>
        <v/>
      </c>
      <c r="K18" s="204"/>
      <c r="L18" s="305"/>
    </row>
    <row r="19" spans="1:12">
      <c r="A19" s="428" t="str">
        <f>Application!B733</f>
        <v>3 Bedrooms</v>
      </c>
      <c r="B19" s="1082">
        <f>Application!G733</f>
        <v>2</v>
      </c>
      <c r="C19" s="1162"/>
      <c r="D19" s="428">
        <f>Application!O733</f>
        <v>2508</v>
      </c>
      <c r="E19" s="429"/>
      <c r="F19" s="1083"/>
      <c r="G19" s="428">
        <f t="shared" si="2"/>
        <v>0</v>
      </c>
      <c r="H19" s="429"/>
      <c r="I19" s="428" t="str">
        <f t="shared" si="0"/>
        <v/>
      </c>
      <c r="J19" s="428" t="str">
        <f t="shared" si="1"/>
        <v/>
      </c>
      <c r="K19" s="204"/>
      <c r="L19" s="305"/>
    </row>
    <row r="20" spans="1:12">
      <c r="A20" s="428" t="str">
        <f>Application!B734</f>
        <v>2 Bedrooms</v>
      </c>
      <c r="B20" s="1082">
        <f>Application!G734</f>
        <v>2</v>
      </c>
      <c r="C20" s="1162" t="s">
        <v>384</v>
      </c>
      <c r="D20" s="428">
        <f>Application!O734</f>
        <v>2181</v>
      </c>
      <c r="E20" s="429"/>
      <c r="F20" s="1083">
        <v>3715</v>
      </c>
      <c r="G20" s="428">
        <f t="shared" si="2"/>
        <v>7430</v>
      </c>
      <c r="H20" s="429"/>
      <c r="I20" s="428">
        <f t="shared" si="0"/>
        <v>1534</v>
      </c>
      <c r="J20" s="428">
        <f t="shared" si="1"/>
        <v>3068</v>
      </c>
      <c r="K20" s="204"/>
      <c r="L20" s="305"/>
    </row>
    <row r="21" spans="1:12">
      <c r="A21" s="428" t="str">
        <f>Application!B735</f>
        <v>3 Bedrooms</v>
      </c>
      <c r="B21" s="1082">
        <f>Application!G735</f>
        <v>2</v>
      </c>
      <c r="C21" s="1162" t="s">
        <v>384</v>
      </c>
      <c r="D21" s="428">
        <f>Application!O735</f>
        <v>2508</v>
      </c>
      <c r="E21" s="429"/>
      <c r="F21" s="1083">
        <v>4380</v>
      </c>
      <c r="G21" s="428">
        <f t="shared" si="2"/>
        <v>8760</v>
      </c>
      <c r="H21" s="429"/>
      <c r="I21" s="428">
        <f t="shared" si="0"/>
        <v>1872</v>
      </c>
      <c r="J21" s="428">
        <f t="shared" si="1"/>
        <v>3744</v>
      </c>
      <c r="K21" s="204"/>
      <c r="L21" s="305"/>
    </row>
    <row r="22" spans="1:12">
      <c r="A22" s="428" t="str">
        <f>Application!B736</f>
        <v>SRO/Studio</v>
      </c>
      <c r="B22" s="1082">
        <f>Application!G736</f>
        <v>2</v>
      </c>
      <c r="C22" s="1162"/>
      <c r="D22" s="428">
        <f>Application!O736</f>
        <v>2060</v>
      </c>
      <c r="E22" s="429"/>
      <c r="F22" s="1083"/>
      <c r="G22" s="428">
        <f t="shared" si="2"/>
        <v>0</v>
      </c>
      <c r="H22" s="429"/>
      <c r="I22" s="428" t="str">
        <f t="shared" si="0"/>
        <v/>
      </c>
      <c r="J22" s="428" t="str">
        <f t="shared" si="1"/>
        <v/>
      </c>
      <c r="K22" s="204"/>
      <c r="L22" s="305"/>
    </row>
    <row r="23" spans="1:12">
      <c r="A23" s="428" t="str">
        <f>Application!B737</f>
        <v>1 Bedroom</v>
      </c>
      <c r="B23" s="1082">
        <f>Application!G737</f>
        <v>15</v>
      </c>
      <c r="C23" s="1162"/>
      <c r="D23" s="428">
        <f>Application!O737</f>
        <v>2202</v>
      </c>
      <c r="E23" s="429"/>
      <c r="F23" s="1083"/>
      <c r="G23" s="428">
        <f t="shared" si="2"/>
        <v>0</v>
      </c>
      <c r="H23" s="429"/>
      <c r="I23" s="428" t="str">
        <f t="shared" si="0"/>
        <v/>
      </c>
      <c r="J23" s="428" t="str">
        <f t="shared" si="1"/>
        <v/>
      </c>
      <c r="K23" s="204"/>
      <c r="L23" s="305"/>
    </row>
    <row r="24" spans="1:12">
      <c r="A24" s="428" t="str">
        <f>Application!B738</f>
        <v>2 Bedrooms</v>
      </c>
      <c r="B24" s="1082">
        <f>Application!G738</f>
        <v>4</v>
      </c>
      <c r="C24" s="1162"/>
      <c r="D24" s="428">
        <f>Application!O738</f>
        <v>2633</v>
      </c>
      <c r="E24" s="429"/>
      <c r="F24" s="1083"/>
      <c r="G24" s="428">
        <f t="shared" si="2"/>
        <v>0</v>
      </c>
      <c r="H24" s="429"/>
      <c r="I24" s="428" t="str">
        <f t="shared" si="0"/>
        <v/>
      </c>
      <c r="J24" s="428" t="str">
        <f t="shared" si="1"/>
        <v/>
      </c>
      <c r="K24" s="204"/>
      <c r="L24" s="305"/>
    </row>
    <row r="25" spans="1:12">
      <c r="A25" s="428" t="str">
        <f>Application!B739</f>
        <v>3 Bedrooms</v>
      </c>
      <c r="B25" s="1082">
        <f>Application!G739</f>
        <v>4</v>
      </c>
      <c r="C25" s="1162"/>
      <c r="D25" s="428">
        <f>Application!O739</f>
        <v>3030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209581</v>
      </c>
      <c r="E40" s="429"/>
      <c r="F40" s="429"/>
      <c r="G40" s="432">
        <f>SUM(G4:G38)*12</f>
        <v>2039940</v>
      </c>
      <c r="H40" s="433"/>
      <c r="I40" s="431"/>
      <c r="J40" s="432">
        <f>SUM(J4:J38)*12</f>
        <v>1267392</v>
      </c>
      <c r="K40" s="204"/>
      <c r="L40" s="306"/>
    </row>
    <row r="41" spans="1:12">
      <c r="A41" s="430"/>
      <c r="B41" s="431"/>
      <c r="C41" s="431"/>
      <c r="D41" s="433"/>
      <c r="E41" s="429"/>
      <c r="F41" s="429"/>
      <c r="G41" s="433"/>
      <c r="H41" s="433"/>
      <c r="I41" s="431"/>
      <c r="J41" s="433"/>
      <c r="K41" s="204"/>
      <c r="L41" s="306"/>
    </row>
    <row r="42" spans="1:12">
      <c r="A42" s="304" t="s">
        <v>2258</v>
      </c>
    </row>
    <row r="43" spans="1:12">
      <c r="A43" s="2690" t="s">
        <v>2497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2259</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5" workbookViewId="0">
      <selection activeCell="E49" sqref="E49"/>
    </sheetView>
  </sheetViews>
  <sheetFormatPr defaultColWidth="0" defaultRowHeight="12.5" zeroHeight="1"/>
  <cols>
    <col min="1" max="1" width="3.6328125" customWidth="1"/>
    <col min="2" max="2" width="30.453125" customWidth="1"/>
    <col min="3" max="3" width="9.1796875" style="214"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11" t="s">
        <v>2094</v>
      </c>
      <c r="B1" s="211"/>
    </row>
    <row r="2" spans="1:34"/>
    <row r="3" spans="1:34" ht="15.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2514972</v>
      </c>
      <c r="G4" s="219">
        <f>E4*$C$4</f>
        <v>2577846.2999999998</v>
      </c>
      <c r="I4" s="219">
        <f>G4*$C$4</f>
        <v>2642292.4574999996</v>
      </c>
      <c r="K4" s="219">
        <f>I4*$C$4</f>
        <v>2708349.7689374993</v>
      </c>
      <c r="M4" s="219">
        <f>K4*$C$4</f>
        <v>2776058.5131609365</v>
      </c>
      <c r="O4" s="219">
        <f>M4*$C$4</f>
        <v>2845459.9759899597</v>
      </c>
      <c r="Q4" s="219">
        <f>O4*$C$4</f>
        <v>2916596.4753897083</v>
      </c>
      <c r="S4" s="219">
        <f>Q4*$C$4</f>
        <v>2989511.3872744506</v>
      </c>
      <c r="U4" s="219">
        <f>S4*$C$4</f>
        <v>3064249.1719563114</v>
      </c>
      <c r="W4" s="219">
        <f>U4*$C$4</f>
        <v>3140855.4012552188</v>
      </c>
      <c r="Y4" s="219">
        <f>W4*$C$4</f>
        <v>3219376.786286599</v>
      </c>
      <c r="AA4" s="219">
        <f>Y4*$C$4</f>
        <v>3299861.2059437637</v>
      </c>
      <c r="AC4" s="219">
        <f>AA4*$C$4</f>
        <v>3382357.7360923574</v>
      </c>
      <c r="AE4" s="219">
        <f>AC4*$C$4</f>
        <v>3466916.6794946659</v>
      </c>
      <c r="AG4" s="219">
        <f>AE4*$C$4</f>
        <v>3553589.5964820324</v>
      </c>
    </row>
    <row r="5" spans="1:34" s="210" customFormat="1" ht="14">
      <c r="B5" s="210" t="s">
        <v>838</v>
      </c>
      <c r="C5" s="238">
        <v>7.4999999999999997E-2</v>
      </c>
      <c r="E5" s="221">
        <f>-E4*$C$5</f>
        <v>-188622.9</v>
      </c>
      <c r="F5" s="221"/>
      <c r="G5" s="221">
        <f>-G4*$C$5</f>
        <v>-193338.47249999997</v>
      </c>
      <c r="H5" s="221"/>
      <c r="I5" s="221">
        <f>-I4*$C$5</f>
        <v>-198171.93431249997</v>
      </c>
      <c r="J5" s="221"/>
      <c r="K5" s="221">
        <f>-K4*$C$5</f>
        <v>-203126.23267031243</v>
      </c>
      <c r="L5" s="221"/>
      <c r="M5" s="221">
        <f>-M4*$C$5</f>
        <v>-208204.38848707025</v>
      </c>
      <c r="N5" s="221"/>
      <c r="O5" s="221">
        <f>-O4*$C$5</f>
        <v>-213409.49819924697</v>
      </c>
      <c r="P5" s="221"/>
      <c r="Q5" s="221">
        <f>-Q4*$C$5</f>
        <v>-218744.7356542281</v>
      </c>
      <c r="R5" s="221"/>
      <c r="S5" s="221">
        <f>-S4*$C$5</f>
        <v>-224213.35404558378</v>
      </c>
      <c r="T5" s="221"/>
      <c r="U5" s="221">
        <f>-U4*$C$5</f>
        <v>-229818.68789672336</v>
      </c>
      <c r="V5" s="221"/>
      <c r="W5" s="221">
        <f>-W4*$C$5</f>
        <v>-235564.1550941414</v>
      </c>
      <c r="X5" s="221"/>
      <c r="Y5" s="221">
        <f>-Y4*$C$5</f>
        <v>-241453.25897149491</v>
      </c>
      <c r="Z5" s="221"/>
      <c r="AA5" s="221">
        <f>-AA4*$C$5</f>
        <v>-247489.59044578226</v>
      </c>
      <c r="AB5" s="221"/>
      <c r="AC5" s="221">
        <f>-AC4*$C$5</f>
        <v>-253676.8302069268</v>
      </c>
      <c r="AD5" s="221"/>
      <c r="AE5" s="221">
        <f>-AE4*$C$5</f>
        <v>-260018.75096209993</v>
      </c>
      <c r="AF5" s="221"/>
      <c r="AG5" s="221">
        <f>-AG4*$C$5</f>
        <v>-266519.21973615244</v>
      </c>
    </row>
    <row r="6" spans="1:34" s="210" customFormat="1" ht="14">
      <c r="A6" s="210" t="s">
        <v>836</v>
      </c>
      <c r="C6" s="237">
        <v>1.0249999999999999</v>
      </c>
      <c r="E6" s="222">
        <f>Application!Z809</f>
        <v>1267392</v>
      </c>
      <c r="F6" s="222"/>
      <c r="G6" s="222">
        <f>E6*$C$6</f>
        <v>1299076.7999999998</v>
      </c>
      <c r="H6" s="222"/>
      <c r="I6" s="222">
        <f>G6*$C$6</f>
        <v>1331553.7199999997</v>
      </c>
      <c r="J6" s="222"/>
      <c r="K6" s="222">
        <f>I6*$C$6</f>
        <v>1364842.5629999996</v>
      </c>
      <c r="L6" s="222"/>
      <c r="M6" s="222">
        <f>K6*$C$6</f>
        <v>1398963.6270749995</v>
      </c>
      <c r="N6" s="222"/>
      <c r="O6" s="222">
        <f>M6*$C$6</f>
        <v>1433937.7177518744</v>
      </c>
      <c r="P6" s="222"/>
      <c r="Q6" s="222">
        <f>O6*$C$6</f>
        <v>1469786.1606956711</v>
      </c>
      <c r="R6" s="222"/>
      <c r="S6" s="222">
        <f>Q6*$C$6</f>
        <v>1506530.8147130627</v>
      </c>
      <c r="T6" s="222"/>
      <c r="U6" s="222">
        <f>S6*$C$6</f>
        <v>1544194.0850808891</v>
      </c>
      <c r="V6" s="222"/>
      <c r="W6" s="222">
        <f>U6*$C$6</f>
        <v>1582798.9372079112</v>
      </c>
      <c r="X6" s="222"/>
      <c r="Y6" s="222">
        <f>W6*$C$6</f>
        <v>1622368.9106381088</v>
      </c>
      <c r="Z6" s="222"/>
      <c r="AA6" s="222">
        <f>Y6*$C$6</f>
        <v>1662928.1334040614</v>
      </c>
      <c r="AB6" s="222"/>
      <c r="AC6" s="222">
        <f>AA6*$C$6</f>
        <v>1704501.3367391629</v>
      </c>
      <c r="AD6" s="222"/>
      <c r="AE6" s="222">
        <f>AC6*$C$6</f>
        <v>1747113.8701576418</v>
      </c>
      <c r="AF6" s="222"/>
      <c r="AG6" s="222">
        <f>AE6*$C$6</f>
        <v>1790791.7169115827</v>
      </c>
    </row>
    <row r="7" spans="1:34" s="210" customFormat="1" ht="14">
      <c r="B7" s="210" t="s">
        <v>838</v>
      </c>
      <c r="C7" s="238">
        <f>IF(Application!$D$211="Special Needs",(((0.1*Application!$T$212)+(0.05*(1-Application!$T$212)))),0.05)</f>
        <v>0.05</v>
      </c>
      <c r="E7" s="221">
        <f>-E6*$C$7</f>
        <v>-63369.600000000006</v>
      </c>
      <c r="F7" s="221"/>
      <c r="G7" s="221">
        <f>-G6*$C$7</f>
        <v>-64953.84</v>
      </c>
      <c r="H7" s="221"/>
      <c r="I7" s="221">
        <f>-I6*$C$7</f>
        <v>-66577.685999999987</v>
      </c>
      <c r="J7" s="221"/>
      <c r="K7" s="221">
        <f>-K6*$C$7</f>
        <v>-68242.12814999999</v>
      </c>
      <c r="L7" s="221"/>
      <c r="M7" s="221">
        <f>-M6*$C$7</f>
        <v>-69948.181353749984</v>
      </c>
      <c r="N7" s="221"/>
      <c r="O7" s="221">
        <f>-O6*$C$7</f>
        <v>-71696.885887593715</v>
      </c>
      <c r="P7" s="221"/>
      <c r="Q7" s="221">
        <f>-Q6*$C$7</f>
        <v>-73489.308034783564</v>
      </c>
      <c r="R7" s="221"/>
      <c r="S7" s="221">
        <f>-S6*$C$7</f>
        <v>-75326.540735653136</v>
      </c>
      <c r="T7" s="221"/>
      <c r="U7" s="221">
        <f>-U6*$C$7</f>
        <v>-77209.704254044453</v>
      </c>
      <c r="V7" s="221"/>
      <c r="W7" s="221">
        <f>-W6*$C$7</f>
        <v>-79139.946860395561</v>
      </c>
      <c r="X7" s="221"/>
      <c r="Y7" s="221">
        <f>-Y6*$C$7</f>
        <v>-81118.445531905454</v>
      </c>
      <c r="Z7" s="221"/>
      <c r="AA7" s="221">
        <f>-AA6*$C$7</f>
        <v>-83146.406670203083</v>
      </c>
      <c r="AB7" s="221"/>
      <c r="AC7" s="221">
        <f>-AC6*$C$7</f>
        <v>-85225.066836958154</v>
      </c>
      <c r="AD7" s="221"/>
      <c r="AE7" s="221">
        <f>-AE6*$C$7</f>
        <v>-87355.693507882097</v>
      </c>
      <c r="AF7" s="221"/>
      <c r="AG7" s="221">
        <f>-AG6*$C$7</f>
        <v>-89539.585845579146</v>
      </c>
    </row>
    <row r="8" spans="1:34" s="210" customFormat="1" ht="14">
      <c r="A8" s="210" t="s">
        <v>287</v>
      </c>
      <c r="C8" s="237">
        <v>1.0249999999999999</v>
      </c>
      <c r="E8" s="222">
        <f>Application!Z817</f>
        <v>21600</v>
      </c>
      <c r="F8" s="222"/>
      <c r="G8" s="222">
        <f>E8*$C$8</f>
        <v>22139.999999999996</v>
      </c>
      <c r="H8" s="222"/>
      <c r="I8" s="222">
        <f>G8*$C$8</f>
        <v>22693.499999999993</v>
      </c>
      <c r="J8" s="222"/>
      <c r="K8" s="222">
        <f>I8*$C$8</f>
        <v>23260.837499999991</v>
      </c>
      <c r="L8" s="222"/>
      <c r="M8" s="222">
        <f>K8*$C$8</f>
        <v>23842.358437499988</v>
      </c>
      <c r="N8" s="222"/>
      <c r="O8" s="222">
        <f>M8*$C$8</f>
        <v>24438.417398437487</v>
      </c>
      <c r="P8" s="222"/>
      <c r="Q8" s="222">
        <f>O8*$C$8</f>
        <v>25049.377833398423</v>
      </c>
      <c r="R8" s="222"/>
      <c r="S8" s="222">
        <f>Q8*$C$8</f>
        <v>25675.612279233381</v>
      </c>
      <c r="T8" s="222"/>
      <c r="U8" s="222">
        <f>S8*$C$8</f>
        <v>26317.502586214214</v>
      </c>
      <c r="V8" s="222"/>
      <c r="W8" s="222">
        <f>U8*$C$8</f>
        <v>26975.440150869566</v>
      </c>
      <c r="X8" s="222"/>
      <c r="Y8" s="222">
        <f>W8*$C$8</f>
        <v>27649.826154641301</v>
      </c>
      <c r="Z8" s="222"/>
      <c r="AA8" s="222">
        <f>Y8*$C$8</f>
        <v>28341.071808507331</v>
      </c>
      <c r="AB8" s="222"/>
      <c r="AC8" s="222">
        <f>AA8*$C$8</f>
        <v>29049.598603720013</v>
      </c>
      <c r="AD8" s="222"/>
      <c r="AE8" s="222">
        <f>AC8*$C$8</f>
        <v>29775.838568813011</v>
      </c>
      <c r="AF8" s="222"/>
      <c r="AG8" s="222">
        <f>AE8*$C$8</f>
        <v>30520.234533033334</v>
      </c>
    </row>
    <row r="9" spans="1:34" s="210" customFormat="1" ht="14">
      <c r="B9" s="210" t="s">
        <v>838</v>
      </c>
      <c r="C9" s="238">
        <f>IF(Application!$D$211="Special Needs",(((0.1*Application!$T$212)+(0.05*(1-Application!$T$212)))),0.05)</f>
        <v>0.05</v>
      </c>
      <c r="E9" s="221">
        <f>-E8*$C$9</f>
        <v>-1080</v>
      </c>
      <c r="F9" s="221"/>
      <c r="G9" s="221">
        <f>-G8*$C$9</f>
        <v>-1106.9999999999998</v>
      </c>
      <c r="H9" s="221"/>
      <c r="I9" s="221">
        <f>-I8*$C$9</f>
        <v>-1134.6749999999997</v>
      </c>
      <c r="J9" s="221"/>
      <c r="K9" s="221">
        <f>-K8*$C$9</f>
        <v>-1163.0418749999997</v>
      </c>
      <c r="L9" s="221"/>
      <c r="M9" s="221">
        <f>-M8*$C$9</f>
        <v>-1192.1179218749994</v>
      </c>
      <c r="N9" s="221"/>
      <c r="O9" s="221">
        <f>-O8*$C$9</f>
        <v>-1221.9208699218743</v>
      </c>
      <c r="P9" s="221"/>
      <c r="Q9" s="221">
        <f>-Q8*$C$9</f>
        <v>-1252.4688916699213</v>
      </c>
      <c r="R9" s="221"/>
      <c r="S9" s="221">
        <f>-S8*$C$9</f>
        <v>-1283.7806139616691</v>
      </c>
      <c r="T9" s="221"/>
      <c r="U9" s="221">
        <f>-U8*$C$9</f>
        <v>-1315.8751293107107</v>
      </c>
      <c r="V9" s="221"/>
      <c r="W9" s="221">
        <f>-W8*$C$9</f>
        <v>-1348.7720075434784</v>
      </c>
      <c r="X9" s="221"/>
      <c r="Y9" s="221">
        <f>-Y8*$C$9</f>
        <v>-1382.4913077320653</v>
      </c>
      <c r="Z9" s="221"/>
      <c r="AA9" s="221">
        <f>-AA8*$C$9</f>
        <v>-1417.0535904253666</v>
      </c>
      <c r="AB9" s="221"/>
      <c r="AC9" s="221">
        <f>-AC8*$C$9</f>
        <v>-1452.4799301860007</v>
      </c>
      <c r="AD9" s="221"/>
      <c r="AE9" s="221">
        <f>-AE8*$C$9</f>
        <v>-1488.7919284406507</v>
      </c>
      <c r="AF9" s="221"/>
      <c r="AG9" s="221">
        <f>-AG8*$C$9</f>
        <v>-1526.0117266516668</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3550891.5</v>
      </c>
      <c r="G11" s="223">
        <f>SUM(G4:G10)</f>
        <v>3639663.7874999996</v>
      </c>
      <c r="I11" s="223">
        <f>SUM(I4:I10)</f>
        <v>3730655.3821874997</v>
      </c>
      <c r="K11" s="223">
        <f>SUM(K4:K10)</f>
        <v>3823921.7667421866</v>
      </c>
      <c r="M11" s="223">
        <f>SUM(M4:M10)</f>
        <v>3919519.8109107404</v>
      </c>
      <c r="O11" s="223">
        <f>SUM(O4:O10)</f>
        <v>4017507.8061835091</v>
      </c>
      <c r="Q11" s="223">
        <f>SUM(Q4:Q10)</f>
        <v>4117945.5013380963</v>
      </c>
      <c r="S11" s="223">
        <f>SUM(S4:S10)</f>
        <v>4220894.1388715487</v>
      </c>
      <c r="U11" s="223">
        <f>SUM(U4:U10)</f>
        <v>4326416.4923433363</v>
      </c>
      <c r="W11" s="223">
        <f>SUM(W4:W10)</f>
        <v>4434576.9046519194</v>
      </c>
      <c r="Y11" s="223">
        <f>SUM(Y4:Y10)</f>
        <v>4545441.3272682168</v>
      </c>
      <c r="AA11" s="223">
        <f>SUM(AA4:AA10)</f>
        <v>4659077.3604499223</v>
      </c>
      <c r="AC11" s="223">
        <f>SUM(AC4:AC10)</f>
        <v>4775554.2944611702</v>
      </c>
      <c r="AE11" s="223">
        <f>SUM(AE4:AE10)</f>
        <v>4894943.1518226983</v>
      </c>
      <c r="AG11" s="223">
        <f>SUM(AG4:AG10)</f>
        <v>5017316.7306182655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129700</v>
      </c>
      <c r="G15" s="219">
        <f>E15*$C$14</f>
        <v>134239.5</v>
      </c>
      <c r="I15" s="219">
        <f>G15*$C$14</f>
        <v>138937.88249999998</v>
      </c>
      <c r="K15" s="219">
        <f>I15*$C$14</f>
        <v>143800.70838749997</v>
      </c>
      <c r="M15" s="219">
        <f>K15*$C$14</f>
        <v>148833.73318106245</v>
      </c>
      <c r="O15" s="219">
        <f>M15*$C$14</f>
        <v>154042.91384239963</v>
      </c>
      <c r="Q15" s="219">
        <f>O15*$C$14</f>
        <v>159434.4158268836</v>
      </c>
      <c r="S15" s="219">
        <f>Q15*$C$14</f>
        <v>165014.62038082452</v>
      </c>
      <c r="U15" s="219">
        <f>S15*$C$14</f>
        <v>170790.13209415338</v>
      </c>
      <c r="W15" s="219">
        <f>U15*$C$14</f>
        <v>176767.78671744873</v>
      </c>
      <c r="Y15" s="219">
        <f>W15*$C$14</f>
        <v>182954.65925255942</v>
      </c>
      <c r="AA15" s="219">
        <f>Y15*$C$14</f>
        <v>189358.07232639898</v>
      </c>
      <c r="AC15" s="219">
        <f>AA15*$C$14</f>
        <v>195985.60485782294</v>
      </c>
      <c r="AE15" s="219">
        <f>AC15*$C$14</f>
        <v>202845.10102784671</v>
      </c>
      <c r="AG15" s="219">
        <f>AE15*$C$14</f>
        <v>209944.67956382132</v>
      </c>
    </row>
    <row r="16" spans="1:34" s="210" customFormat="1" ht="14">
      <c r="A16" s="210" t="s">
        <v>343</v>
      </c>
      <c r="C16" s="233"/>
      <c r="E16" s="222">
        <f>Application!W849</f>
        <v>93600</v>
      </c>
      <c r="F16" s="222"/>
      <c r="G16" s="222">
        <f t="shared" ref="G16:AG21" si="0">E16*$C$14</f>
        <v>96875.999999999985</v>
      </c>
      <c r="H16" s="222"/>
      <c r="I16" s="222">
        <f t="shared" si="0"/>
        <v>100266.65999999997</v>
      </c>
      <c r="J16" s="222"/>
      <c r="K16" s="222">
        <f t="shared" si="0"/>
        <v>103775.99309999996</v>
      </c>
      <c r="L16" s="222"/>
      <c r="M16" s="222">
        <f t="shared" si="0"/>
        <v>107408.15285849995</v>
      </c>
      <c r="N16" s="222"/>
      <c r="O16" s="222">
        <f t="shared" si="0"/>
        <v>111167.43820854744</v>
      </c>
      <c r="P16" s="222"/>
      <c r="Q16" s="222">
        <f t="shared" si="0"/>
        <v>115058.29854584658</v>
      </c>
      <c r="R16" s="222"/>
      <c r="S16" s="222">
        <f t="shared" si="0"/>
        <v>119085.33899495121</v>
      </c>
      <c r="T16" s="222"/>
      <c r="U16" s="222">
        <f t="shared" si="0"/>
        <v>123253.32585977449</v>
      </c>
      <c r="V16" s="222"/>
      <c r="W16" s="222">
        <f t="shared" si="0"/>
        <v>127567.19226486658</v>
      </c>
      <c r="X16" s="222"/>
      <c r="Y16" s="222">
        <f t="shared" si="0"/>
        <v>132032.04399413691</v>
      </c>
      <c r="Z16" s="222"/>
      <c r="AA16" s="222">
        <f t="shared" si="0"/>
        <v>136653.16553393169</v>
      </c>
      <c r="AB16" s="222"/>
      <c r="AC16" s="222">
        <f t="shared" si="0"/>
        <v>141436.0263276193</v>
      </c>
      <c r="AD16" s="222"/>
      <c r="AE16" s="222">
        <f t="shared" si="0"/>
        <v>146386.28724908596</v>
      </c>
      <c r="AF16" s="222"/>
      <c r="AG16" s="222">
        <f t="shared" si="0"/>
        <v>151509.80730280397</v>
      </c>
    </row>
    <row r="17" spans="1:33" s="210" customFormat="1" ht="14">
      <c r="A17" s="210" t="s">
        <v>561</v>
      </c>
      <c r="C17" s="233"/>
      <c r="E17" s="222">
        <f>Application!W855</f>
        <v>194350</v>
      </c>
      <c r="F17" s="222"/>
      <c r="G17" s="222">
        <f t="shared" si="0"/>
        <v>201152.24999999997</v>
      </c>
      <c r="H17" s="222"/>
      <c r="I17" s="222">
        <f t="shared" si="0"/>
        <v>208192.57874999996</v>
      </c>
      <c r="J17" s="222"/>
      <c r="K17" s="222">
        <f t="shared" si="0"/>
        <v>215479.31900624995</v>
      </c>
      <c r="L17" s="222"/>
      <c r="M17" s="222">
        <f t="shared" si="0"/>
        <v>223021.09517146868</v>
      </c>
      <c r="N17" s="222"/>
      <c r="O17" s="222">
        <f t="shared" si="0"/>
        <v>230826.83350247008</v>
      </c>
      <c r="P17" s="222"/>
      <c r="Q17" s="222">
        <f t="shared" si="0"/>
        <v>238905.77267505651</v>
      </c>
      <c r="R17" s="222"/>
      <c r="S17" s="222">
        <f t="shared" si="0"/>
        <v>247267.47471868346</v>
      </c>
      <c r="T17" s="222"/>
      <c r="U17" s="222">
        <f t="shared" si="0"/>
        <v>255921.83633383736</v>
      </c>
      <c r="V17" s="222"/>
      <c r="W17" s="222">
        <f t="shared" si="0"/>
        <v>264879.10060552164</v>
      </c>
      <c r="X17" s="222"/>
      <c r="Y17" s="222">
        <f t="shared" si="0"/>
        <v>274149.86912671488</v>
      </c>
      <c r="Z17" s="222"/>
      <c r="AA17" s="222">
        <f t="shared" si="0"/>
        <v>283745.11454614985</v>
      </c>
      <c r="AB17" s="222"/>
      <c r="AC17" s="222">
        <f t="shared" si="0"/>
        <v>293676.19355526508</v>
      </c>
      <c r="AD17" s="222"/>
      <c r="AE17" s="222">
        <f t="shared" si="0"/>
        <v>303954.86032969935</v>
      </c>
      <c r="AF17" s="222"/>
      <c r="AG17" s="222">
        <f t="shared" si="0"/>
        <v>314593.28044123878</v>
      </c>
    </row>
    <row r="18" spans="1:33" s="210" customFormat="1" ht="14">
      <c r="A18" s="210" t="s">
        <v>842</v>
      </c>
      <c r="C18" s="233"/>
      <c r="E18" s="222">
        <f>Application!W862</f>
        <v>264500</v>
      </c>
      <c r="F18" s="222"/>
      <c r="G18" s="222">
        <f t="shared" si="0"/>
        <v>273757.5</v>
      </c>
      <c r="H18" s="222"/>
      <c r="I18" s="222">
        <f t="shared" si="0"/>
        <v>283339.01249999995</v>
      </c>
      <c r="J18" s="222"/>
      <c r="K18" s="222">
        <f t="shared" si="0"/>
        <v>293255.87793749996</v>
      </c>
      <c r="L18" s="222"/>
      <c r="M18" s="222">
        <f t="shared" si="0"/>
        <v>303519.83366531244</v>
      </c>
      <c r="N18" s="222"/>
      <c r="O18" s="222">
        <f t="shared" si="0"/>
        <v>314143.02784359833</v>
      </c>
      <c r="P18" s="222"/>
      <c r="Q18" s="222">
        <f t="shared" si="0"/>
        <v>325138.03381812427</v>
      </c>
      <c r="R18" s="222"/>
      <c r="S18" s="222">
        <f t="shared" si="0"/>
        <v>336517.86500175862</v>
      </c>
      <c r="T18" s="222"/>
      <c r="U18" s="222">
        <f t="shared" si="0"/>
        <v>348295.99027682014</v>
      </c>
      <c r="V18" s="222"/>
      <c r="W18" s="222">
        <f t="shared" si="0"/>
        <v>360486.34993650881</v>
      </c>
      <c r="X18" s="222"/>
      <c r="Y18" s="222">
        <f t="shared" si="0"/>
        <v>373103.37218428659</v>
      </c>
      <c r="Z18" s="222"/>
      <c r="AA18" s="222">
        <f t="shared" si="0"/>
        <v>386161.99021073658</v>
      </c>
      <c r="AB18" s="222"/>
      <c r="AC18" s="222">
        <f t="shared" si="0"/>
        <v>399677.6598681123</v>
      </c>
      <c r="AD18" s="222"/>
      <c r="AE18" s="222">
        <f t="shared" si="0"/>
        <v>413666.3779634962</v>
      </c>
      <c r="AF18" s="222"/>
      <c r="AG18" s="222">
        <f t="shared" si="0"/>
        <v>428144.70119221852</v>
      </c>
    </row>
    <row r="19" spans="1:33" s="210" customFormat="1" ht="14">
      <c r="A19" s="210" t="s">
        <v>155</v>
      </c>
      <c r="C19" s="233"/>
      <c r="E19" s="222">
        <f>Application!W863</f>
        <v>208000</v>
      </c>
      <c r="F19" s="222"/>
      <c r="G19" s="222">
        <f t="shared" si="0"/>
        <v>215279.99999999997</v>
      </c>
      <c r="H19" s="222"/>
      <c r="I19" s="222">
        <f t="shared" si="0"/>
        <v>222814.79999999996</v>
      </c>
      <c r="J19" s="222"/>
      <c r="K19" s="222">
        <f t="shared" si="0"/>
        <v>230613.31799999994</v>
      </c>
      <c r="L19" s="222"/>
      <c r="M19" s="222">
        <f t="shared" si="0"/>
        <v>238684.78412999993</v>
      </c>
      <c r="N19" s="222"/>
      <c r="O19" s="222">
        <f t="shared" si="0"/>
        <v>247038.75157454991</v>
      </c>
      <c r="P19" s="222"/>
      <c r="Q19" s="222">
        <f t="shared" si="0"/>
        <v>255685.10787965913</v>
      </c>
      <c r="R19" s="222"/>
      <c r="S19" s="222">
        <f t="shared" si="0"/>
        <v>264634.0866554472</v>
      </c>
      <c r="T19" s="222"/>
      <c r="U19" s="222">
        <f t="shared" si="0"/>
        <v>273896.27968838782</v>
      </c>
      <c r="V19" s="222"/>
      <c r="W19" s="222">
        <f t="shared" si="0"/>
        <v>283482.64947748138</v>
      </c>
      <c r="X19" s="222"/>
      <c r="Y19" s="222">
        <f t="shared" si="0"/>
        <v>293404.54220919323</v>
      </c>
      <c r="Z19" s="222"/>
      <c r="AA19" s="222">
        <f t="shared" si="0"/>
        <v>303673.70118651498</v>
      </c>
      <c r="AB19" s="222"/>
      <c r="AC19" s="222">
        <f t="shared" si="0"/>
        <v>314302.280728043</v>
      </c>
      <c r="AD19" s="222"/>
      <c r="AE19" s="222">
        <f t="shared" si="0"/>
        <v>325302.86055352446</v>
      </c>
      <c r="AF19" s="222"/>
      <c r="AG19" s="222">
        <f t="shared" si="0"/>
        <v>336688.46067289781</v>
      </c>
    </row>
    <row r="20" spans="1:33" s="210" customFormat="1" ht="14">
      <c r="A20" s="210" t="s">
        <v>389</v>
      </c>
      <c r="C20" s="233"/>
      <c r="E20" s="222">
        <f>Application!W872</f>
        <v>348000</v>
      </c>
      <c r="F20" s="222"/>
      <c r="G20" s="222">
        <f t="shared" si="0"/>
        <v>360180</v>
      </c>
      <c r="H20" s="222"/>
      <c r="I20" s="222">
        <f t="shared" si="0"/>
        <v>372786.3</v>
      </c>
      <c r="J20" s="222"/>
      <c r="K20" s="222">
        <f t="shared" si="0"/>
        <v>385833.82049999997</v>
      </c>
      <c r="L20" s="222"/>
      <c r="M20" s="222">
        <f t="shared" si="0"/>
        <v>399338.00421749993</v>
      </c>
      <c r="N20" s="222"/>
      <c r="O20" s="222">
        <f t="shared" si="0"/>
        <v>413314.83436511242</v>
      </c>
      <c r="P20" s="222"/>
      <c r="Q20" s="222">
        <f t="shared" si="0"/>
        <v>427780.85356789129</v>
      </c>
      <c r="R20" s="222"/>
      <c r="S20" s="222">
        <f t="shared" si="0"/>
        <v>442753.18344276748</v>
      </c>
      <c r="T20" s="222"/>
      <c r="U20" s="222">
        <f t="shared" si="0"/>
        <v>458249.54486326431</v>
      </c>
      <c r="V20" s="222"/>
      <c r="W20" s="222">
        <f t="shared" si="0"/>
        <v>474288.27893347852</v>
      </c>
      <c r="X20" s="222"/>
      <c r="Y20" s="222">
        <f t="shared" si="0"/>
        <v>490888.36869615025</v>
      </c>
      <c r="Z20" s="222"/>
      <c r="AA20" s="222">
        <f t="shared" si="0"/>
        <v>508069.46160051547</v>
      </c>
      <c r="AB20" s="222"/>
      <c r="AC20" s="222">
        <f t="shared" si="0"/>
        <v>525851.89275653346</v>
      </c>
      <c r="AD20" s="222"/>
      <c r="AE20" s="222">
        <f t="shared" si="0"/>
        <v>544256.70900301205</v>
      </c>
      <c r="AF20" s="222"/>
      <c r="AG20" s="222">
        <f t="shared" si="0"/>
        <v>563305.69381811738</v>
      </c>
    </row>
    <row r="21" spans="1:33" s="210" customFormat="1" ht="14">
      <c r="A21" s="226" t="s">
        <v>962</v>
      </c>
      <c r="B21" s="226"/>
      <c r="C21" s="233"/>
      <c r="E21" s="232">
        <f>Application!W879</f>
        <v>7000</v>
      </c>
      <c r="F21" s="222"/>
      <c r="G21" s="232">
        <f t="shared" si="0"/>
        <v>7244.9999999999991</v>
      </c>
      <c r="H21" s="222"/>
      <c r="I21" s="232">
        <f t="shared" si="0"/>
        <v>7498.5749999999989</v>
      </c>
      <c r="J21" s="222"/>
      <c r="K21" s="232">
        <f t="shared" si="0"/>
        <v>7761.0251249999983</v>
      </c>
      <c r="L21" s="222"/>
      <c r="M21" s="232">
        <f t="shared" si="0"/>
        <v>8032.6610043749979</v>
      </c>
      <c r="N21" s="222"/>
      <c r="O21" s="232">
        <f t="shared" si="0"/>
        <v>8313.8041395281216</v>
      </c>
      <c r="P21" s="222"/>
      <c r="Q21" s="232">
        <f t="shared" si="0"/>
        <v>8604.7872844116046</v>
      </c>
      <c r="R21" s="222"/>
      <c r="S21" s="232">
        <f t="shared" si="0"/>
        <v>8905.9548393660098</v>
      </c>
      <c r="T21" s="222"/>
      <c r="U21" s="232">
        <f t="shared" si="0"/>
        <v>9217.6632587438198</v>
      </c>
      <c r="V21" s="222"/>
      <c r="W21" s="232">
        <f t="shared" si="0"/>
        <v>9540.2814727998521</v>
      </c>
      <c r="X21" s="222"/>
      <c r="Y21" s="232">
        <f t="shared" si="0"/>
        <v>9874.1913243478466</v>
      </c>
      <c r="Z21" s="222"/>
      <c r="AA21" s="232">
        <f t="shared" si="0"/>
        <v>10219.78802070002</v>
      </c>
      <c r="AB21" s="222"/>
      <c r="AC21" s="232">
        <f t="shared" si="0"/>
        <v>10577.480601424521</v>
      </c>
      <c r="AD21" s="222"/>
      <c r="AE21" s="232">
        <f t="shared" si="0"/>
        <v>10947.692422474378</v>
      </c>
      <c r="AF21" s="222"/>
      <c r="AG21" s="232">
        <f t="shared" si="0"/>
        <v>11330.861657260981</v>
      </c>
    </row>
    <row r="22" spans="1:33" s="223" customFormat="1" ht="14">
      <c r="A22" s="223" t="s">
        <v>843</v>
      </c>
      <c r="C22" s="233"/>
      <c r="E22" s="223">
        <f>SUM(E15:E21)</f>
        <v>1245150</v>
      </c>
      <c r="G22" s="223">
        <f>SUM(G15:G21)</f>
        <v>1288730.25</v>
      </c>
      <c r="I22" s="223">
        <f>SUM(I15:I21)</f>
        <v>1333835.8087499996</v>
      </c>
      <c r="K22" s="223">
        <f>SUM(K15:K21)</f>
        <v>1380520.0620562497</v>
      </c>
      <c r="M22" s="223">
        <f>SUM(M15:M21)</f>
        <v>1428838.2642282185</v>
      </c>
      <c r="O22" s="223">
        <f>SUM(O15:O21)</f>
        <v>1478847.6034762061</v>
      </c>
      <c r="Q22" s="223">
        <f>SUM(Q15:Q21)</f>
        <v>1530607.2695978729</v>
      </c>
      <c r="S22" s="223">
        <f>SUM(S15:S21)</f>
        <v>1584178.5240337986</v>
      </c>
      <c r="U22" s="223">
        <f>SUM(U15:U21)</f>
        <v>1639624.7723749811</v>
      </c>
      <c r="W22" s="223">
        <f>SUM(W15:W21)</f>
        <v>1697011.6394081055</v>
      </c>
      <c r="Y22" s="223">
        <f>SUM(Y15:Y21)</f>
        <v>1756407.0467873893</v>
      </c>
      <c r="AA22" s="223">
        <f>SUM(AA15:AA21)</f>
        <v>1817881.2934249477</v>
      </c>
      <c r="AC22" s="223">
        <f>SUM(AC15:AC21)</f>
        <v>1881507.1386948207</v>
      </c>
      <c r="AE22" s="223">
        <f>SUM(AE15:AE21)</f>
        <v>1947359.8885491388</v>
      </c>
      <c r="AG22" s="223">
        <f>SUM(AG15:AG21)</f>
        <v>2015517.4846483585</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74750</v>
      </c>
      <c r="F27" s="222"/>
      <c r="G27" s="222">
        <f>E27*$C$27</f>
        <v>77366.25</v>
      </c>
      <c r="H27" s="222"/>
      <c r="I27" s="222">
        <f>G27*$C$27</f>
        <v>80074.068749999991</v>
      </c>
      <c r="J27" s="222"/>
      <c r="K27" s="222">
        <f>I27*$C$27</f>
        <v>82876.661156249989</v>
      </c>
      <c r="L27" s="222"/>
      <c r="M27" s="222">
        <f>K27*$C$27</f>
        <v>85777.344296718729</v>
      </c>
      <c r="N27" s="222"/>
      <c r="O27" s="222">
        <f>M27*$C$27</f>
        <v>88779.551347103872</v>
      </c>
      <c r="P27" s="222"/>
      <c r="Q27" s="222">
        <f>O27*$C$27</f>
        <v>91886.835644252496</v>
      </c>
      <c r="R27" s="222"/>
      <c r="S27" s="222">
        <f>Q27*$C$27</f>
        <v>95102.87489180133</v>
      </c>
      <c r="T27" s="222"/>
      <c r="U27" s="222">
        <f>S27*$C$27</f>
        <v>98431.475513014375</v>
      </c>
      <c r="V27" s="222"/>
      <c r="W27" s="222">
        <f>U27*$C$27</f>
        <v>101876.57715596988</v>
      </c>
      <c r="X27" s="222"/>
      <c r="Y27" s="222">
        <f>W27*$C$27</f>
        <v>105442.25735642882</v>
      </c>
      <c r="Z27" s="222"/>
      <c r="AA27" s="222">
        <f>Y27*$C$27</f>
        <v>109132.73636390382</v>
      </c>
      <c r="AB27" s="222"/>
      <c r="AC27" s="222">
        <f>AA27*$C$27</f>
        <v>112952.38213664044</v>
      </c>
      <c r="AD27" s="222"/>
      <c r="AE27" s="222">
        <f>AC27*$C$27</f>
        <v>116905.71551142285</v>
      </c>
      <c r="AF27" s="222"/>
      <c r="AG27" s="222">
        <f>AE27*$C$27</f>
        <v>120997.41555432264</v>
      </c>
    </row>
    <row r="28" spans="1:33" s="210" customFormat="1" ht="14">
      <c r="A28" s="210" t="s">
        <v>846</v>
      </c>
      <c r="C28" s="237"/>
      <c r="E28" s="222">
        <f>Application!AC889</f>
        <v>39000</v>
      </c>
      <c r="F28" s="222"/>
      <c r="G28" s="222">
        <f>$E$28</f>
        <v>39000</v>
      </c>
      <c r="H28" s="222"/>
      <c r="I28" s="222">
        <f>$E$28</f>
        <v>39000</v>
      </c>
      <c r="J28" s="222"/>
      <c r="K28" s="222">
        <f>$E$28</f>
        <v>39000</v>
      </c>
      <c r="L28" s="222"/>
      <c r="M28" s="222">
        <f>$E$28</f>
        <v>39000</v>
      </c>
      <c r="N28" s="222"/>
      <c r="O28" s="222">
        <f>$E$28</f>
        <v>39000</v>
      </c>
      <c r="P28" s="222"/>
      <c r="Q28" s="222">
        <f>$E$28</f>
        <v>39000</v>
      </c>
      <c r="R28" s="222"/>
      <c r="S28" s="222">
        <f>$E$28</f>
        <v>39000</v>
      </c>
      <c r="T28" s="222"/>
      <c r="U28" s="222">
        <f>$E$28</f>
        <v>39000</v>
      </c>
      <c r="V28" s="222"/>
      <c r="W28" s="222">
        <f>$E$28</f>
        <v>39000</v>
      </c>
      <c r="X28" s="222"/>
      <c r="Y28" s="222">
        <f>$E$28</f>
        <v>39000</v>
      </c>
      <c r="Z28" s="222"/>
      <c r="AA28" s="222">
        <f>$E$28</f>
        <v>39000</v>
      </c>
      <c r="AB28" s="222"/>
      <c r="AC28" s="222">
        <f>$E$28</f>
        <v>39000</v>
      </c>
      <c r="AD28" s="222"/>
      <c r="AE28" s="222">
        <f>$E$28</f>
        <v>39000</v>
      </c>
      <c r="AF28" s="222"/>
      <c r="AG28" s="222">
        <f>$E$28</f>
        <v>39000</v>
      </c>
    </row>
    <row r="29" spans="1:33" s="210" customFormat="1" ht="14">
      <c r="A29" s="210" t="s">
        <v>1680</v>
      </c>
      <c r="C29" s="237"/>
      <c r="E29" s="222">
        <f>Application!AC890</f>
        <v>26000</v>
      </c>
      <c r="F29" s="222"/>
      <c r="G29" s="222">
        <f>$E$29</f>
        <v>26000</v>
      </c>
      <c r="H29" s="222"/>
      <c r="I29" s="222">
        <f>$E$29</f>
        <v>26000</v>
      </c>
      <c r="J29" s="222"/>
      <c r="K29" s="222">
        <f>$E$29</f>
        <v>26000</v>
      </c>
      <c r="L29" s="222"/>
      <c r="M29" s="222">
        <f>$E$29</f>
        <v>26000</v>
      </c>
      <c r="N29" s="222"/>
      <c r="O29" s="222">
        <f>$E$29</f>
        <v>26000</v>
      </c>
      <c r="P29" s="222"/>
      <c r="Q29" s="222">
        <f>$E$29</f>
        <v>26000</v>
      </c>
      <c r="R29" s="222"/>
      <c r="S29" s="222">
        <f>$E$29</f>
        <v>26000</v>
      </c>
      <c r="T29" s="222"/>
      <c r="U29" s="222">
        <f>$E$29</f>
        <v>26000</v>
      </c>
      <c r="V29" s="222"/>
      <c r="W29" s="222">
        <f>$E$29</f>
        <v>26000</v>
      </c>
      <c r="X29" s="222"/>
      <c r="Y29" s="222">
        <f>$E$29</f>
        <v>26000</v>
      </c>
      <c r="Z29" s="222"/>
      <c r="AA29" s="222">
        <f>$E$29</f>
        <v>26000</v>
      </c>
      <c r="AB29" s="222"/>
      <c r="AC29" s="222">
        <f>$E$29</f>
        <v>26000</v>
      </c>
      <c r="AD29" s="222"/>
      <c r="AE29" s="222">
        <f>$E$29</f>
        <v>26000</v>
      </c>
      <c r="AF29" s="222"/>
      <c r="AG29" s="222">
        <f>$E$29</f>
        <v>26000</v>
      </c>
    </row>
    <row r="30" spans="1:33" s="210" customFormat="1" ht="14">
      <c r="A30" s="210" t="s">
        <v>844</v>
      </c>
      <c r="C30" s="237">
        <v>1.02</v>
      </c>
      <c r="E30" s="222">
        <f>Application!AC891</f>
        <v>4000</v>
      </c>
      <c r="F30" s="222"/>
      <c r="G30" s="222">
        <f>E30*$C$30</f>
        <v>4080</v>
      </c>
      <c r="H30" s="222"/>
      <c r="I30" s="222">
        <f>G30*$C$30</f>
        <v>4161.6000000000004</v>
      </c>
      <c r="J30" s="222"/>
      <c r="K30" s="222">
        <f>I30*$C$30</f>
        <v>4244.8320000000003</v>
      </c>
      <c r="L30" s="222"/>
      <c r="M30" s="222">
        <f>K30*$C$30</f>
        <v>4329.7286400000003</v>
      </c>
      <c r="N30" s="222"/>
      <c r="O30" s="222">
        <f>M30*$C$30</f>
        <v>4416.3232128</v>
      </c>
      <c r="P30" s="222"/>
      <c r="Q30" s="222">
        <f>O30*$C$30</f>
        <v>4504.6496770559997</v>
      </c>
      <c r="R30" s="222"/>
      <c r="S30" s="222">
        <f>Q30*$C$30</f>
        <v>4594.7426705971202</v>
      </c>
      <c r="T30" s="222"/>
      <c r="U30" s="222">
        <f>S30*$C$30</f>
        <v>4686.6375240090629</v>
      </c>
      <c r="V30" s="222"/>
      <c r="W30" s="222">
        <f>U30*$C$30</f>
        <v>4780.3702744892444</v>
      </c>
      <c r="X30" s="222"/>
      <c r="Y30" s="222">
        <f>W30*$C$30</f>
        <v>4875.9776799790297</v>
      </c>
      <c r="Z30" s="222"/>
      <c r="AA30" s="222">
        <f>Y30*$C$30</f>
        <v>4973.4972335786106</v>
      </c>
      <c r="AB30" s="222"/>
      <c r="AC30" s="222">
        <f>AA30*$C$30</f>
        <v>5072.9671782501828</v>
      </c>
      <c r="AD30" s="222"/>
      <c r="AE30" s="222">
        <f>AC30*$C$30</f>
        <v>5174.4265218151868</v>
      </c>
      <c r="AF30" s="222"/>
      <c r="AG30" s="222">
        <f>AE30*$C$30</f>
        <v>5277.915052251491</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Trustee Fee</v>
      </c>
      <c r="C32" s="316">
        <v>1.0349999999999999</v>
      </c>
      <c r="E32" s="222">
        <f>Application!AC894</f>
        <v>5000</v>
      </c>
      <c r="F32" s="222"/>
      <c r="G32" s="222">
        <f>E32*$C$32</f>
        <v>5175</v>
      </c>
      <c r="H32" s="222"/>
      <c r="I32" s="222">
        <f>G32*$C$32</f>
        <v>5356.125</v>
      </c>
      <c r="J32" s="222"/>
      <c r="K32" s="222">
        <f>I32*$C$32</f>
        <v>5543.5893749999996</v>
      </c>
      <c r="L32" s="222"/>
      <c r="M32" s="222">
        <f>K32*$C$32</f>
        <v>5737.615003124999</v>
      </c>
      <c r="N32" s="222"/>
      <c r="O32" s="222">
        <f>M32*$C$32</f>
        <v>5938.4315282343732</v>
      </c>
      <c r="P32" s="222"/>
      <c r="Q32" s="222">
        <f>O32*$C$32</f>
        <v>6146.276631722576</v>
      </c>
      <c r="R32" s="222"/>
      <c r="S32" s="222">
        <f>Q32*$C$32</f>
        <v>6361.3963138328654</v>
      </c>
      <c r="T32" s="222"/>
      <c r="U32" s="222">
        <f>S32*$C$32</f>
        <v>6584.0451848170151</v>
      </c>
      <c r="V32" s="222"/>
      <c r="W32" s="222">
        <f>U32*$C$32</f>
        <v>6814.4867662856104</v>
      </c>
      <c r="X32" s="222"/>
      <c r="Y32" s="222">
        <f>W32*$C$32</f>
        <v>7052.9938031056063</v>
      </c>
      <c r="Z32" s="222"/>
      <c r="AA32" s="222">
        <f>Y32*$C$32</f>
        <v>7299.8485862143016</v>
      </c>
      <c r="AB32" s="222"/>
      <c r="AC32" s="222">
        <f>AA32*$C$32</f>
        <v>7555.3432867318015</v>
      </c>
      <c r="AD32" s="222"/>
      <c r="AE32" s="222">
        <f>AC32*$C$32</f>
        <v>7819.7803017674141</v>
      </c>
      <c r="AF32" s="222"/>
      <c r="AG32" s="222">
        <f>AE32*$C$32</f>
        <v>8093.472612329273</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1393900</v>
      </c>
      <c r="G35" s="223">
        <f>SUM(G22:G33)</f>
        <v>1440351.5</v>
      </c>
      <c r="I35" s="223">
        <f>SUM(I22:I33)</f>
        <v>1488427.6024999998</v>
      </c>
      <c r="K35" s="223">
        <f>SUM(K22:K33)</f>
        <v>1538185.1445874996</v>
      </c>
      <c r="M35" s="223">
        <f>SUM(M22:M33)</f>
        <v>1589682.9521680623</v>
      </c>
      <c r="O35" s="223">
        <f>SUM(O22:O33)</f>
        <v>1642981.9095643444</v>
      </c>
      <c r="Q35" s="223">
        <f>SUM(Q22:Q33)</f>
        <v>1698145.0315509038</v>
      </c>
      <c r="S35" s="223">
        <f>SUM(S22:S33)</f>
        <v>1755237.5379100298</v>
      </c>
      <c r="U35" s="223">
        <f>SUM(U22:U33)</f>
        <v>1814326.9305968215</v>
      </c>
      <c r="W35" s="223">
        <f>SUM(W22:W33)</f>
        <v>1875483.0736048501</v>
      </c>
      <c r="Y35" s="223">
        <f>SUM(Y22:Y33)</f>
        <v>1938778.2756269027</v>
      </c>
      <c r="AA35" s="223">
        <f>SUM(AA22:AA33)</f>
        <v>2004287.3756086444</v>
      </c>
      <c r="AC35" s="223">
        <f>SUM(AC22:AC33)</f>
        <v>2072087.831296443</v>
      </c>
      <c r="AE35" s="223">
        <f>SUM(AE22:AE33)</f>
        <v>2142259.8108841442</v>
      </c>
      <c r="AG35" s="223">
        <f>SUM(AG22:AG33)</f>
        <v>2214886.287867262</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2156991.5</v>
      </c>
      <c r="G37" s="223">
        <f>G11-G35</f>
        <v>2199312.2874999996</v>
      </c>
      <c r="I37" s="223">
        <f>I11-I35</f>
        <v>2242227.7796874996</v>
      </c>
      <c r="K37" s="223">
        <f>K11-K35</f>
        <v>2285736.6221546871</v>
      </c>
      <c r="M37" s="223">
        <f>M11-M35</f>
        <v>2329836.8587426781</v>
      </c>
      <c r="O37" s="223">
        <f>O11-O35</f>
        <v>2374525.8966191644</v>
      </c>
      <c r="Q37" s="223">
        <f>Q11-Q35</f>
        <v>2419800.4697871925</v>
      </c>
      <c r="S37" s="223">
        <f>S11-S35</f>
        <v>2465656.6009615189</v>
      </c>
      <c r="U37" s="223">
        <f>U11-U35</f>
        <v>2512089.5617465149</v>
      </c>
      <c r="W37" s="223">
        <f>W11-W35</f>
        <v>2559093.8310470693</v>
      </c>
      <c r="Y37" s="223">
        <f>Y11-Y35</f>
        <v>2606663.0516413143</v>
      </c>
      <c r="AA37" s="223">
        <f>AA11-AA35</f>
        <v>2654789.9848412778</v>
      </c>
      <c r="AC37" s="223">
        <f>AC11-AC35</f>
        <v>2703466.4631647272</v>
      </c>
      <c r="AE37" s="223">
        <f>AE11-AE35</f>
        <v>2752683.3409385541</v>
      </c>
      <c r="AG37" s="223">
        <f>AG11-AG35</f>
        <v>2802430.4427510034</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 xml:space="preserve"> TE Perm Loan</v>
      </c>
      <c r="B40" s="226"/>
      <c r="C40" s="220"/>
      <c r="E40" s="222">
        <f>Application!AF627</f>
        <v>1871794</v>
      </c>
      <c r="F40" s="222"/>
      <c r="G40" s="222">
        <f>$E$40</f>
        <v>1871794</v>
      </c>
      <c r="H40" s="222"/>
      <c r="I40" s="222">
        <f>$E$40</f>
        <v>1871794</v>
      </c>
      <c r="J40" s="222"/>
      <c r="K40" s="222">
        <f>$E$40</f>
        <v>1871794</v>
      </c>
      <c r="L40" s="222"/>
      <c r="M40" s="222">
        <f>$E$40</f>
        <v>1871794</v>
      </c>
      <c r="N40" s="222"/>
      <c r="O40" s="222">
        <f>$E$40</f>
        <v>1871794</v>
      </c>
      <c r="P40" s="222"/>
      <c r="Q40" s="222">
        <f>$E$40</f>
        <v>1871794</v>
      </c>
      <c r="R40" s="222"/>
      <c r="S40" s="222">
        <f>$E$40</f>
        <v>1871794</v>
      </c>
      <c r="T40" s="222"/>
      <c r="U40" s="222">
        <f>$E$40</f>
        <v>1871794</v>
      </c>
      <c r="V40" s="222"/>
      <c r="W40" s="222">
        <f>$E$40</f>
        <v>1871794</v>
      </c>
      <c r="X40" s="222"/>
      <c r="Y40" s="222">
        <f>$E$40</f>
        <v>1871794</v>
      </c>
      <c r="Z40" s="222"/>
      <c r="AA40" s="222">
        <f>$E$40</f>
        <v>1871794</v>
      </c>
      <c r="AB40" s="222"/>
      <c r="AC40" s="222">
        <f>$E$40</f>
        <v>1871794</v>
      </c>
      <c r="AD40" s="222"/>
      <c r="AE40" s="222">
        <f>$E$40</f>
        <v>1871794</v>
      </c>
      <c r="AF40" s="222"/>
      <c r="AG40" s="222">
        <f>$E$40</f>
        <v>1871794</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1871794</v>
      </c>
      <c r="G43" s="223">
        <f>SUM(G40:G42)</f>
        <v>1871794</v>
      </c>
      <c r="I43" s="223">
        <f>SUM(I40:I42)</f>
        <v>1871794</v>
      </c>
      <c r="K43" s="223">
        <f>SUM(K40:K42)</f>
        <v>1871794</v>
      </c>
      <c r="M43" s="223">
        <f>SUM(M40:M42)</f>
        <v>1871794</v>
      </c>
      <c r="O43" s="223">
        <f>SUM(O40:O42)</f>
        <v>1871794</v>
      </c>
      <c r="Q43" s="223">
        <f>SUM(Q40:Q42)</f>
        <v>1871794</v>
      </c>
      <c r="S43" s="223">
        <f>SUM(S40:S42)</f>
        <v>1871794</v>
      </c>
      <c r="U43" s="223">
        <f>SUM(U40:U42)</f>
        <v>1871794</v>
      </c>
      <c r="W43" s="223">
        <f>SUM(W40:W42)</f>
        <v>1871794</v>
      </c>
      <c r="Y43" s="223">
        <f>SUM(Y40:Y42)</f>
        <v>1871794</v>
      </c>
      <c r="AA43" s="223">
        <f>SUM(AA40:AA42)</f>
        <v>1871794</v>
      </c>
      <c r="AC43" s="223">
        <f>SUM(AC40:AC42)</f>
        <v>1871794</v>
      </c>
      <c r="AE43" s="223">
        <f>SUM(AE40:AE42)</f>
        <v>1871794</v>
      </c>
      <c r="AG43" s="223">
        <f>SUM(AG40:AG42)</f>
        <v>1871794</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285197.5</v>
      </c>
      <c r="G45" s="223">
        <f>G37-G43</f>
        <v>327518.28749999963</v>
      </c>
      <c r="I45" s="223">
        <f>I37-I43</f>
        <v>370433.77968749963</v>
      </c>
      <c r="K45" s="223">
        <f>K37-K43</f>
        <v>413942.62215468707</v>
      </c>
      <c r="M45" s="223">
        <f>M37-M43</f>
        <v>458042.85874267807</v>
      </c>
      <c r="O45" s="223">
        <f>O37-O43</f>
        <v>502731.89661916438</v>
      </c>
      <c r="Q45" s="223">
        <f>Q37-Q43</f>
        <v>548006.46978719253</v>
      </c>
      <c r="S45" s="223">
        <f>S37-S43</f>
        <v>593862.60096151894</v>
      </c>
      <c r="U45" s="223">
        <f>U37-U43</f>
        <v>640295.56174651487</v>
      </c>
      <c r="W45" s="223">
        <f>W37-W43</f>
        <v>687299.83104706928</v>
      </c>
      <c r="Y45" s="223">
        <f>Y37-Y43</f>
        <v>734869.05164131429</v>
      </c>
      <c r="AA45" s="223">
        <f>AA37-AA43</f>
        <v>782995.98484127782</v>
      </c>
      <c r="AC45" s="223">
        <f>AC37-AC43</f>
        <v>831672.4631647272</v>
      </c>
      <c r="AE45" s="223">
        <f>AE37-AE43</f>
        <v>880889.34093855415</v>
      </c>
      <c r="AG45" s="223">
        <f>AG37-AG43</f>
        <v>930636.44275100343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7.4973764210176541E-2</v>
      </c>
      <c r="G47" s="227">
        <f>G45/(G4+G6+G8)</f>
        <v>8.3999227275906266E-2</v>
      </c>
      <c r="I47" s="227">
        <f>I45/(I4+I6+I8)</f>
        <v>9.268862805816587E-2</v>
      </c>
      <c r="K47" s="227">
        <f>K45/(K4+K6+K8)</f>
        <v>0.10104903071832926</v>
      </c>
      <c r="M47" s="227">
        <f>M45/(M4+M6+M8)</f>
        <v>0.10908731607971378</v>
      </c>
      <c r="O47" s="227">
        <f>O45/(O4+O6+O8)</f>
        <v>0.11681018599148495</v>
      </c>
      <c r="Q47" s="227">
        <f>Q45/(Q4+Q6+Q8)</f>
        <v>0.12422416758507077</v>
      </c>
      <c r="S47" s="227">
        <f>S45/(S4+S6+S8)</f>
        <v>0.13133561742570202</v>
      </c>
      <c r="U47" s="227">
        <f>U45/(U4+U6+U8)</f>
        <v>0.13815072556162328</v>
      </c>
      <c r="W47" s="227">
        <f>W45/(W4+W6+W8)</f>
        <v>0.14467551947346013</v>
      </c>
      <c r="Y47" s="227">
        <f>Y45/(Y4+Y6+Y8)</f>
        <v>0.15091586792616749</v>
      </c>
      <c r="AA47" s="227">
        <f>AA45/(AA4+AA6+AA8)</f>
        <v>0.15687748472592508</v>
      </c>
      <c r="AC47" s="227">
        <f>AC45/(AC4+AC6+AC8)</f>
        <v>0.16256593238428668</v>
      </c>
      <c r="AE47" s="227">
        <f>AE45/(AE4+AE6+AE8)</f>
        <v>0.1679866256918349</v>
      </c>
      <c r="AG47" s="227">
        <f>AG45/(AG4+AG6+AG8)</f>
        <v>0.17314483520353849</v>
      </c>
    </row>
    <row r="48" spans="1:33" s="227" customFormat="1" ht="14">
      <c r="A48" s="227" t="s">
        <v>852</v>
      </c>
      <c r="C48" s="220"/>
      <c r="E48" s="227">
        <f>E45/E43</f>
        <v>0.15236585863615335</v>
      </c>
      <c r="G48" s="227">
        <f>G45/G43</f>
        <v>0.17497560495439116</v>
      </c>
      <c r="I48" s="227">
        <f>I45/I43</f>
        <v>0.19790307036324489</v>
      </c>
      <c r="K48" s="227">
        <f>K45/K43</f>
        <v>0.2211475312746419</v>
      </c>
      <c r="M48" s="227">
        <f>M45/M43</f>
        <v>0.24470794261691087</v>
      </c>
      <c r="O48" s="227">
        <f>O45/O43</f>
        <v>0.2685829191776255</v>
      </c>
      <c r="Q48" s="227">
        <f>Q45/Q43</f>
        <v>0.2927707161082857</v>
      </c>
      <c r="S48" s="227">
        <f>S45/S43</f>
        <v>0.31726920855688123</v>
      </c>
      <c r="U48" s="227">
        <f>U45/U43</f>
        <v>0.34207587039306403</v>
      </c>
      <c r="W48" s="227">
        <f>W45/W43</f>
        <v>0.36718775198930509</v>
      </c>
      <c r="Y48" s="227">
        <f>Y45/Y43</f>
        <v>0.39260145702001092</v>
      </c>
      <c r="AA48" s="227">
        <f>AA45/AA43</f>
        <v>0.41831311823912132</v>
      </c>
      <c r="AC48" s="227">
        <f>AC45/AC43</f>
        <v>0.44431837219519199</v>
      </c>
      <c r="AE48" s="227">
        <f>AE45/AE43</f>
        <v>0.47061233284140996</v>
      </c>
      <c r="AG48" s="227">
        <f>AG45/AG43</f>
        <v>0.49718956399636038</v>
      </c>
    </row>
    <row r="49" spans="1:34" s="228" customFormat="1" ht="14">
      <c r="A49" s="228" t="s">
        <v>850</v>
      </c>
      <c r="C49" s="229"/>
      <c r="E49" s="228">
        <f>E37/E43</f>
        <v>1.1523658586361534</v>
      </c>
      <c r="G49" s="228">
        <f>G37/G43</f>
        <v>1.1749756049543911</v>
      </c>
      <c r="I49" s="228">
        <f>I37/I43</f>
        <v>1.1979030703632449</v>
      </c>
      <c r="K49" s="228">
        <f>K37/K43</f>
        <v>1.2211475312746418</v>
      </c>
      <c r="M49" s="228">
        <f>M37/M43</f>
        <v>1.244707942616911</v>
      </c>
      <c r="O49" s="228">
        <f>O37/O43</f>
        <v>1.2685829191776254</v>
      </c>
      <c r="Q49" s="228">
        <f>Q37/Q43</f>
        <v>1.2927707161082858</v>
      </c>
      <c r="S49" s="228">
        <f>S37/S43</f>
        <v>1.3172692085568811</v>
      </c>
      <c r="U49" s="228">
        <f>U37/U43</f>
        <v>1.342075870393064</v>
      </c>
      <c r="W49" s="228">
        <f>W37/W43</f>
        <v>1.367187751989305</v>
      </c>
      <c r="Y49" s="228">
        <f>Y37/Y43</f>
        <v>1.3926014570200109</v>
      </c>
      <c r="AA49" s="228">
        <f>AA37/AA43</f>
        <v>1.4183131182391213</v>
      </c>
      <c r="AC49" s="228">
        <f>AC37/AC43</f>
        <v>1.444318372195192</v>
      </c>
      <c r="AE49" s="228">
        <f>AE37/AE43</f>
        <v>1.47061233284141</v>
      </c>
      <c r="AG49" s="228">
        <f>AG37/AG43</f>
        <v>1.4971895639963604</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1184</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285197.5</v>
      </c>
      <c r="G60" s="962">
        <f>G45-G58</f>
        <v>327518.28749999963</v>
      </c>
      <c r="I60" s="962">
        <f>I45-I58</f>
        <v>370433.77968749963</v>
      </c>
      <c r="K60" s="962">
        <f>K45-K58</f>
        <v>413942.62215468707</v>
      </c>
      <c r="M60" s="962">
        <f>M45-M58</f>
        <v>458042.85874267807</v>
      </c>
      <c r="O60" s="962">
        <f>O45-O58</f>
        <v>502731.89661916438</v>
      </c>
      <c r="Q60" s="962">
        <f>Q45-Q58</f>
        <v>548006.46978719253</v>
      </c>
      <c r="S60" s="962">
        <f>S45-S58</f>
        <v>593862.60096151894</v>
      </c>
      <c r="U60" s="962">
        <f>U45-U58</f>
        <v>640295.56174651487</v>
      </c>
      <c r="W60" s="962">
        <f>W45-W58</f>
        <v>687299.83104706928</v>
      </c>
      <c r="Y60" s="962">
        <f>Y45-Y58</f>
        <v>734869.05164131429</v>
      </c>
      <c r="AA60" s="962">
        <f>AA45-AA58</f>
        <v>782995.98484127782</v>
      </c>
      <c r="AC60" s="962">
        <f>AC45-AC58</f>
        <v>831672.4631647272</v>
      </c>
      <c r="AE60" s="962">
        <f>AE45-AE58</f>
        <v>880889.34093855415</v>
      </c>
      <c r="AG60" s="962">
        <f>AG45-AG58</f>
        <v>930636.44275100343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142598.75</v>
      </c>
      <c r="G62" s="962">
        <f>G60*$C$62</f>
        <v>163759.14374999981</v>
      </c>
      <c r="I62" s="962">
        <f>I60*$C$62</f>
        <v>185216.88984374981</v>
      </c>
      <c r="K62" s="962">
        <f>K60*$C$62</f>
        <v>206971.31107734353</v>
      </c>
      <c r="M62" s="962">
        <f>M60*$C$62</f>
        <v>229021.42937133904</v>
      </c>
      <c r="O62" s="962">
        <f>O60*$C$62</f>
        <v>251365.94830958219</v>
      </c>
      <c r="Q62" s="962">
        <f>Q60*$C$62</f>
        <v>274003.23489359627</v>
      </c>
      <c r="S62" s="962">
        <f>S60*$C$62</f>
        <v>296931.30048075947</v>
      </c>
      <c r="U62" s="962">
        <f>U60*$C$62</f>
        <v>320147.78087325743</v>
      </c>
      <c r="W62" s="962">
        <f>W60*$C$62</f>
        <v>343649.91552353464</v>
      </c>
      <c r="Y62" s="962">
        <f>Y60*$C$62</f>
        <v>367434.52582065715</v>
      </c>
      <c r="AA62" s="962">
        <f>AA60*$C$62</f>
        <v>391497.99242063891</v>
      </c>
      <c r="AC62" s="962">
        <f>AC60*$C$62</f>
        <v>415836.2315823636</v>
      </c>
      <c r="AE62" s="962">
        <f>AE60*$C$62</f>
        <v>440444.67046927707</v>
      </c>
      <c r="AG62" s="962">
        <f>AG60*$C$62</f>
        <v>465318.22137550171</v>
      </c>
    </row>
    <row r="63" spans="1:34" s="962" customFormat="1">
      <c r="A63" s="2693" t="s">
        <v>1184</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71299.375</v>
      </c>
      <c r="G66" s="960">
        <f>G60*$C$65</f>
        <v>81879.571874999907</v>
      </c>
      <c r="I66" s="960">
        <f>I60*$C$65</f>
        <v>92608.444921874907</v>
      </c>
      <c r="K66" s="960">
        <f>K60*$C$65</f>
        <v>103485.65553867177</v>
      </c>
      <c r="M66" s="960">
        <f>M60*$C$65</f>
        <v>114510.71468566952</v>
      </c>
      <c r="O66" s="960">
        <f>O60*$C$65</f>
        <v>125682.9741547911</v>
      </c>
      <c r="Q66" s="960">
        <f>Q60*$C$65</f>
        <v>137001.61744679813</v>
      </c>
      <c r="S66" s="960">
        <f>S60*$C$65</f>
        <v>148465.65024037973</v>
      </c>
      <c r="U66" s="960">
        <f>U60*$C$65</f>
        <v>160073.89043662872</v>
      </c>
      <c r="W66" s="960">
        <f>W60*$C$65</f>
        <v>171824.95776176732</v>
      </c>
      <c r="Y66" s="960">
        <f>Y60*$C$65</f>
        <v>183717.26291032857</v>
      </c>
      <c r="AA66" s="960">
        <f>AA60*$C$65</f>
        <v>195748.99621031946</v>
      </c>
      <c r="AC66" s="960">
        <f>AC60*$C$65</f>
        <v>207918.1157911818</v>
      </c>
      <c r="AE66" s="960">
        <f>AE60*$C$65</f>
        <v>220222.33523463854</v>
      </c>
      <c r="AG66" s="960">
        <f>AG60*$C$65</f>
        <v>232659.11068775086</v>
      </c>
    </row>
    <row r="67" spans="1:34" s="960" customFormat="1">
      <c r="A67" s="965"/>
      <c r="B67" s="965"/>
      <c r="C67" s="970"/>
      <c r="E67" s="964">
        <f>$E60*$C$65</f>
        <v>71299.375</v>
      </c>
      <c r="G67" s="960">
        <f>G60*$C$65</f>
        <v>81879.571874999907</v>
      </c>
      <c r="I67" s="960">
        <f>I60*$C$65</f>
        <v>92608.444921874907</v>
      </c>
      <c r="K67" s="960">
        <f>K60*$C$65</f>
        <v>103485.65553867177</v>
      </c>
      <c r="M67" s="960">
        <f>M60*$C$65</f>
        <v>114510.71468566952</v>
      </c>
      <c r="O67" s="960">
        <f>O60*$C$65</f>
        <v>125682.9741547911</v>
      </c>
      <c r="Q67" s="960">
        <f>Q60*$C$65</f>
        <v>137001.61744679813</v>
      </c>
      <c r="S67" s="960">
        <f>S60*$C$65</f>
        <v>148465.65024037973</v>
      </c>
      <c r="U67" s="960">
        <f>U60*$C$65</f>
        <v>160073.89043662872</v>
      </c>
      <c r="W67" s="960">
        <f>W60*$C$65</f>
        <v>171824.95776176732</v>
      </c>
      <c r="Y67" s="960">
        <f>Y60*$C$65</f>
        <v>183717.26291032857</v>
      </c>
      <c r="AA67" s="960">
        <f>AA60*$C$65</f>
        <v>195748.99621031946</v>
      </c>
      <c r="AC67" s="960">
        <f>AC60*$C$65</f>
        <v>207918.1157911818</v>
      </c>
      <c r="AE67" s="960">
        <f>AE60*$C$65</f>
        <v>220222.33523463854</v>
      </c>
      <c r="AG67" s="960">
        <f>AG60*$C$65</f>
        <v>232659.11068775086</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142598.75</v>
      </c>
      <c r="G70" s="960">
        <f>SUM(G66:G69)</f>
        <v>163759.14374999981</v>
      </c>
      <c r="I70" s="960">
        <f>SUM(I66:I69)</f>
        <v>185216.88984374981</v>
      </c>
      <c r="K70" s="960">
        <f>SUM(K66:K69)</f>
        <v>206971.31107734353</v>
      </c>
      <c r="M70" s="960">
        <f>SUM(M66:M69)</f>
        <v>229021.42937133904</v>
      </c>
      <c r="O70" s="960">
        <f>SUM(O66:O69)</f>
        <v>251365.94830958219</v>
      </c>
      <c r="Q70" s="960">
        <f>SUM(Q66:Q69)</f>
        <v>274003.23489359627</v>
      </c>
      <c r="S70" s="960">
        <f>SUM(S66:S69)</f>
        <v>296931.30048075947</v>
      </c>
      <c r="U70" s="960">
        <f>SUM(U66:U69)</f>
        <v>320147.78087325743</v>
      </c>
      <c r="W70" s="960">
        <f>SUM(W66:W69)</f>
        <v>343649.91552353464</v>
      </c>
      <c r="Y70" s="960">
        <f>SUM(Y66:Y69)</f>
        <v>367434.52582065715</v>
      </c>
      <c r="AA70" s="960">
        <f>SUM(AA66:AA69)</f>
        <v>391497.99242063891</v>
      </c>
      <c r="AC70" s="960">
        <f>SUM(AC66:AC69)</f>
        <v>415836.2315823636</v>
      </c>
      <c r="AE70" s="960">
        <f>SUM(AE66:AE69)</f>
        <v>440444.67046927707</v>
      </c>
      <c r="AG70" s="960">
        <f>SUM(AG66:AG69)</f>
        <v>465318.22137550171</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1722</v>
      </c>
      <c r="C75" s="183"/>
    </row>
    <row r="76" spans="1:34" s="217" customFormat="1">
      <c r="C76" s="183"/>
    </row>
    <row r="77" spans="1:34" s="234" customFormat="1" ht="30" customHeight="1">
      <c r="A77" s="2691" t="s">
        <v>1721</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6328125" customWidth="1"/>
    <col min="2" max="16384" width="8.81640625" hidden="1"/>
  </cols>
  <sheetData>
    <row r="1" spans="1:1" ht="46.5">
      <c r="A1" s="313" t="s">
        <v>971</v>
      </c>
    </row>
    <row r="2" spans="1:1" ht="15.5">
      <c r="A2" s="314"/>
    </row>
    <row r="3" spans="1:1" ht="15.5">
      <c r="A3" s="315" t="s">
        <v>966</v>
      </c>
    </row>
    <row r="4" spans="1:1" ht="15.5">
      <c r="A4" s="315" t="s">
        <v>967</v>
      </c>
    </row>
    <row r="5" spans="1:1" ht="15.5">
      <c r="A5" s="315" t="s">
        <v>968</v>
      </c>
    </row>
    <row r="6" spans="1:1" ht="15.5">
      <c r="A6" s="315" t="s">
        <v>970</v>
      </c>
    </row>
    <row r="7" spans="1:1" ht="15.5">
      <c r="A7" s="315" t="s">
        <v>969</v>
      </c>
    </row>
    <row r="8" spans="1:1" ht="15.5">
      <c r="A8" s="346" t="s">
        <v>1024</v>
      </c>
    </row>
    <row r="9" spans="1:1" ht="15.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6328125" style="204" customWidth="1"/>
    <col min="2" max="4" width="14.6328125" style="204" customWidth="1"/>
    <col min="5" max="5" width="50.6328125" style="204" customWidth="1"/>
    <col min="6" max="253" width="9.1796875" style="204" customWidth="1"/>
    <col min="254" max="16384" width="9.1796875" style="204"/>
  </cols>
  <sheetData>
    <row r="1" spans="1:6" s="275" customFormat="1" ht="18" customHeight="1">
      <c r="A1" s="513" t="s">
        <v>1217</v>
      </c>
      <c r="D1" s="280"/>
    </row>
    <row r="2" spans="1:6" s="275" customFormat="1" ht="13">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320000</v>
      </c>
      <c r="C6" s="266">
        <f>'Sources and Uses Budget'!$C5</f>
        <v>320000</v>
      </c>
      <c r="D6" s="270">
        <f t="shared" ref="D6:D77" si="0">C6-B6</f>
        <v>0</v>
      </c>
      <c r="E6" s="268"/>
      <c r="F6" s="267"/>
    </row>
    <row r="7" spans="1:6" s="352" customFormat="1">
      <c r="A7" s="364" t="s">
        <v>29</v>
      </c>
      <c r="B7" s="266">
        <f>'Sources and Uses Budget'!$C6</f>
        <v>160574</v>
      </c>
      <c r="C7" s="266">
        <f>'Sources and Uses Budget'!$C6</f>
        <v>160574</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480574</v>
      </c>
      <c r="C9" s="270">
        <f>SUM(C5:C8)</f>
        <v>480574</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835292</v>
      </c>
      <c r="C11" s="266">
        <f>'Sources and Uses Budget'!$C10</f>
        <v>835292</v>
      </c>
      <c r="D11" s="270">
        <f t="shared" si="0"/>
        <v>0</v>
      </c>
      <c r="E11" s="268"/>
      <c r="F11" s="267"/>
    </row>
    <row r="12" spans="1:6" s="352" customFormat="1">
      <c r="A12" s="365" t="s">
        <v>596</v>
      </c>
      <c r="B12" s="270">
        <f>SUM(B10:B11)</f>
        <v>835292</v>
      </c>
      <c r="C12" s="270">
        <f>SUM(C10:C11)</f>
        <v>835292</v>
      </c>
      <c r="D12" s="270">
        <f t="shared" si="0"/>
        <v>0</v>
      </c>
      <c r="E12" s="268"/>
      <c r="F12" s="267"/>
    </row>
    <row r="13" spans="1:6" s="352" customFormat="1">
      <c r="A13" s="365" t="s">
        <v>84</v>
      </c>
      <c r="B13" s="270">
        <f>SUM(B9+B12)</f>
        <v>1315866</v>
      </c>
      <c r="C13" s="270">
        <f>SUM(C9+C12)</f>
        <v>1315866</v>
      </c>
      <c r="D13" s="270">
        <f t="shared" si="0"/>
        <v>0</v>
      </c>
      <c r="E13" s="268"/>
      <c r="F13" s="267"/>
    </row>
    <row r="14" spans="1:6" s="352" customFormat="1">
      <c r="A14" s="366" t="s">
        <v>902</v>
      </c>
      <c r="B14" s="266">
        <f>'Sources and Uses Budget'!$C13</f>
        <v>1499448</v>
      </c>
      <c r="C14" s="266">
        <f>'Sources and Uses Budget'!$C13</f>
        <v>1499448</v>
      </c>
      <c r="D14" s="270">
        <f t="shared" si="0"/>
        <v>0</v>
      </c>
      <c r="E14" s="268"/>
      <c r="F14" s="267"/>
    </row>
    <row r="15" spans="1:6" s="352" customFormat="1" ht="23">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f>'Sources and Uses Budget'!A25</f>
        <v>0</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1710014</v>
      </c>
      <c r="C30" s="266">
        <f>'Sources and Uses Budget'!$C29</f>
        <v>1710014</v>
      </c>
      <c r="D30" s="270">
        <f t="shared" si="0"/>
        <v>0</v>
      </c>
      <c r="E30" s="268"/>
      <c r="F30" s="267"/>
    </row>
    <row r="31" spans="1:6" s="352" customFormat="1">
      <c r="A31" s="145" t="s">
        <v>599</v>
      </c>
      <c r="B31" s="266">
        <f>'Sources and Uses Budget'!$C30</f>
        <v>63954346</v>
      </c>
      <c r="C31" s="266">
        <f>'Sources and Uses Budget'!$C30</f>
        <v>63954346</v>
      </c>
      <c r="D31" s="270">
        <f t="shared" si="0"/>
        <v>0</v>
      </c>
      <c r="E31" s="268"/>
      <c r="F31" s="267"/>
    </row>
    <row r="32" spans="1:6" s="352" customFormat="1">
      <c r="A32" s="145" t="s">
        <v>600</v>
      </c>
      <c r="B32" s="266">
        <f>'Sources and Uses Budget'!$C31</f>
        <v>2824275</v>
      </c>
      <c r="C32" s="266">
        <f>'Sources and Uses Budget'!$C31</f>
        <v>2824275</v>
      </c>
      <c r="D32" s="270">
        <f t="shared" si="0"/>
        <v>0</v>
      </c>
      <c r="E32" s="268"/>
      <c r="F32" s="267"/>
    </row>
    <row r="33" spans="1:6" s="352" customFormat="1">
      <c r="A33" s="145" t="s">
        <v>137</v>
      </c>
      <c r="B33" s="266">
        <f>'Sources and Uses Budget'!$C32</f>
        <v>1679821.5</v>
      </c>
      <c r="C33" s="266">
        <f>'Sources and Uses Budget'!$C32</f>
        <v>1679821.5</v>
      </c>
      <c r="D33" s="270">
        <f t="shared" si="0"/>
        <v>0</v>
      </c>
      <c r="E33" s="268"/>
      <c r="F33" s="267"/>
    </row>
    <row r="34" spans="1:6" s="352" customFormat="1">
      <c r="A34" s="145" t="s">
        <v>138</v>
      </c>
      <c r="B34" s="266">
        <f>'Sources and Uses Budget'!$C33</f>
        <v>1679821.5</v>
      </c>
      <c r="C34" s="266">
        <f>'Sources and Uses Budget'!$C33</f>
        <v>1679821.5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295840</v>
      </c>
      <c r="C37" s="266">
        <f>'Sources and Uses Budget'!$C36</f>
        <v>295840</v>
      </c>
      <c r="D37" s="270"/>
      <c r="E37" s="268"/>
      <c r="F37" s="267"/>
    </row>
    <row r="38" spans="1:6" s="352" customFormat="1" ht="23">
      <c r="A38" s="155" t="str">
        <f>'Sources and Uses Budget'!A37</f>
        <v>Other: Photovoltaic System, GC Bond Premium, Enviro Remediation</v>
      </c>
      <c r="B38" s="266">
        <f>'Sources and Uses Budget'!$C37</f>
        <v>950801</v>
      </c>
      <c r="C38" s="266">
        <f>'Sources and Uses Budget'!$C37</f>
        <v>950801</v>
      </c>
      <c r="D38" s="270">
        <f t="shared" si="0"/>
        <v>0</v>
      </c>
      <c r="E38" s="268"/>
      <c r="F38" s="267"/>
    </row>
    <row r="39" spans="1:6" s="352" customFormat="1" ht="13">
      <c r="A39" s="271" t="s">
        <v>143</v>
      </c>
      <c r="B39" s="270">
        <f>SUM(B30:B38)</f>
        <v>73094919</v>
      </c>
      <c r="C39" s="270">
        <f>SUM(C30:C38)</f>
        <v>73094919</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2650000</v>
      </c>
      <c r="C41" s="266">
        <f>'Sources and Uses Budget'!$C40</f>
        <v>2650000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
      <c r="A43" s="271" t="s">
        <v>147</v>
      </c>
      <c r="B43" s="270">
        <f>SUM(B41:B42)</f>
        <v>2650000</v>
      </c>
      <c r="C43" s="270">
        <f>SUM(C41:C42)</f>
        <v>2650000</v>
      </c>
      <c r="D43" s="270">
        <f t="shared" si="0"/>
        <v>0</v>
      </c>
      <c r="E43" s="268"/>
      <c r="F43" s="267"/>
    </row>
    <row r="44" spans="1:6" s="352" customFormat="1" ht="13">
      <c r="A44" s="271" t="s">
        <v>148</v>
      </c>
      <c r="B44" s="266">
        <f>'Sources and Uses Budget'!$C43</f>
        <v>904415</v>
      </c>
      <c r="C44" s="266">
        <f>'Sources and Uses Budget'!$C43</f>
        <v>904415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6730044</v>
      </c>
      <c r="C46" s="266">
        <f>'Sources and Uses Budget'!$C45</f>
        <v>6730044</v>
      </c>
      <c r="D46" s="270">
        <f t="shared" si="0"/>
        <v>0</v>
      </c>
      <c r="E46" s="268"/>
      <c r="F46" s="267"/>
    </row>
    <row r="47" spans="1:6" s="352" customFormat="1">
      <c r="A47" s="145" t="s">
        <v>151</v>
      </c>
      <c r="B47" s="266">
        <f>'Sources and Uses Budget'!$C46</f>
        <v>399361</v>
      </c>
      <c r="C47" s="266">
        <f>'Sources and Uses Budget'!$C46</f>
        <v>399361</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303549</v>
      </c>
      <c r="C50" s="266">
        <f>'Sources and Uses Budget'!$C49</f>
        <v>303549</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800000</v>
      </c>
      <c r="C52" s="266">
        <f>'Sources and Uses Budget'!$C51</f>
        <v>800000</v>
      </c>
      <c r="D52" s="270">
        <f t="shared" si="0"/>
        <v>0</v>
      </c>
      <c r="E52" s="268"/>
      <c r="F52" s="267"/>
    </row>
    <row r="53" spans="1:6" s="352" customFormat="1">
      <c r="A53" s="145" t="s">
        <v>155</v>
      </c>
      <c r="B53" s="266">
        <f>'Sources and Uses Budget'!$C52</f>
        <v>1900000</v>
      </c>
      <c r="C53" s="266">
        <f>'Sources and Uses Budget'!$C52</f>
        <v>1900000</v>
      </c>
      <c r="D53" s="270">
        <f t="shared" si="0"/>
        <v>0</v>
      </c>
      <c r="E53" s="268"/>
      <c r="F53" s="267"/>
    </row>
    <row r="54" spans="1:6" s="352" customFormat="1">
      <c r="A54" s="155" t="str">
        <f>'Sources and Uses Budget'!A53</f>
        <v>Other: Lender Expenses</v>
      </c>
      <c r="B54" s="266">
        <f>'Sources and Uses Budget'!$C53</f>
        <v>50000</v>
      </c>
      <c r="C54" s="266">
        <f>'Sources and Uses Budget'!$C53</f>
        <v>50000</v>
      </c>
      <c r="D54" s="270">
        <f t="shared" si="0"/>
        <v>0</v>
      </c>
      <c r="E54" s="268"/>
      <c r="F54" s="267"/>
    </row>
    <row r="55" spans="1:6" s="353" customFormat="1" ht="13">
      <c r="A55" s="271" t="s">
        <v>157</v>
      </c>
      <c r="B55" s="273">
        <f>SUM(B46:B54)</f>
        <v>10222954</v>
      </c>
      <c r="C55" s="273">
        <f>SUM(C46:C54)</f>
        <v>10222954</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385080</v>
      </c>
      <c r="C57" s="266">
        <f>'Sources and Uses Budget'!$C56</f>
        <v>385080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Perm Lender Expenses</v>
      </c>
      <c r="B62" s="266">
        <f>'Sources and Uses Budget'!$C61</f>
        <v>15000</v>
      </c>
      <c r="C62" s="266">
        <f>'Sources and Uses Budget'!$C61</f>
        <v>15000</v>
      </c>
      <c r="D62" s="270">
        <f t="shared" si="0"/>
        <v>0</v>
      </c>
      <c r="E62" s="268"/>
      <c r="F62" s="267"/>
    </row>
    <row r="63" spans="1:6" s="352" customFormat="1" ht="13.75" customHeight="1">
      <c r="A63" s="271" t="s">
        <v>300</v>
      </c>
      <c r="B63" s="270">
        <f>SUM(B57:B62)</f>
        <v>410080</v>
      </c>
      <c r="C63" s="270">
        <f>SUM(C57:C62)</f>
        <v>410080</v>
      </c>
      <c r="D63" s="270">
        <f t="shared" si="0"/>
        <v>0</v>
      </c>
      <c r="E63" s="268"/>
      <c r="F63" s="267"/>
    </row>
    <row r="64" spans="1:6" s="352" customFormat="1" ht="13">
      <c r="A64" s="274" t="s">
        <v>301</v>
      </c>
      <c r="B64" s="270">
        <f>SUM(B9+B12+B14+B15+B17+B26+B28+B39+B43+B44+B55+B63)</f>
        <v>90097682</v>
      </c>
      <c r="C64" s="270">
        <f>SUM(C9+C12+C14+C15+C17+C26+C28+C39+C43+C44+C55+C63)</f>
        <v>90097682</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115000</v>
      </c>
      <c r="C66" s="266">
        <f>'Sources and Uses Budget'!$C65</f>
        <v>115000</v>
      </c>
      <c r="D66" s="270">
        <f t="shared" si="0"/>
        <v>0</v>
      </c>
      <c r="E66" s="268"/>
      <c r="F66" s="267"/>
    </row>
    <row r="67" spans="1:6" s="352" customFormat="1" ht="23">
      <c r="A67" s="283" t="s">
        <v>1641</v>
      </c>
      <c r="B67" s="266">
        <f>'Sources and Uses Budget'!$C66</f>
        <v>0</v>
      </c>
      <c r="C67" s="266">
        <f>'Sources and Uses Budget'!$C66</f>
        <v>0</v>
      </c>
      <c r="D67" s="270"/>
      <c r="E67" s="268"/>
      <c r="F67" s="267"/>
    </row>
    <row r="68" spans="1:6" s="352" customFormat="1" ht="23">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Owner Legal</v>
      </c>
      <c r="B70" s="266">
        <f>'Sources and Uses Budget'!$C69</f>
        <v>120000</v>
      </c>
      <c r="C70" s="266">
        <f>'Sources and Uses Budget'!$C69</f>
        <v>120000</v>
      </c>
      <c r="D70" s="270">
        <f t="shared" si="0"/>
        <v>0</v>
      </c>
      <c r="E70" s="268"/>
      <c r="F70" s="267"/>
    </row>
    <row r="71" spans="1:6" s="352" customFormat="1">
      <c r="A71" s="149" t="s">
        <v>1645</v>
      </c>
      <c r="B71" s="270">
        <f>SUM(B66:B70)</f>
        <v>235000</v>
      </c>
      <c r="C71" s="270">
        <f>SUM(C66:C70)</f>
        <v>235000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1633624</v>
      </c>
      <c r="C76" s="266">
        <f>'Sources and Uses Budget'!$C75</f>
        <v>1633624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606</v>
      </c>
      <c r="B78" s="270">
        <f>SUM(B73:B77)</f>
        <v>1633624</v>
      </c>
      <c r="C78" s="270">
        <f>SUM(C73:C77)</f>
        <v>1633624</v>
      </c>
      <c r="D78" s="270">
        <f t="shared" ref="D78:D106" si="1">C78-B78</f>
        <v>0</v>
      </c>
      <c r="E78" s="268"/>
      <c r="F78" s="267"/>
    </row>
    <row r="79" spans="1:6" s="352" customFormat="1" ht="13">
      <c r="A79" s="264" t="s">
        <v>1210</v>
      </c>
      <c r="B79" s="264"/>
      <c r="C79" s="264"/>
      <c r="D79" s="264"/>
      <c r="E79" s="282"/>
      <c r="F79" s="264"/>
    </row>
    <row r="80" spans="1:6" s="352" customFormat="1">
      <c r="A80" s="510" t="s">
        <v>1212</v>
      </c>
      <c r="B80" s="266">
        <f>'Sources and Uses Budget'!$C79</f>
        <v>3729577</v>
      </c>
      <c r="C80" s="266">
        <f>'Sources and Uses Budget'!$C79</f>
        <v>3729577</v>
      </c>
      <c r="D80" s="270">
        <f t="shared" si="1"/>
        <v>0</v>
      </c>
      <c r="E80" s="268"/>
      <c r="F80" s="267"/>
    </row>
    <row r="81" spans="1:6" s="352" customFormat="1">
      <c r="A81" s="510" t="s">
        <v>58</v>
      </c>
      <c r="B81" s="266">
        <f>'Sources and Uses Budget'!$C80</f>
        <v>338978</v>
      </c>
      <c r="C81" s="266">
        <f>'Sources and Uses Budget'!$C80</f>
        <v>338978</v>
      </c>
      <c r="D81" s="270">
        <f>C81-B81</f>
        <v>0</v>
      </c>
      <c r="E81" s="268"/>
      <c r="F81" s="267"/>
    </row>
    <row r="82" spans="1:6" s="352" customFormat="1" ht="13">
      <c r="A82" s="271" t="s">
        <v>1209</v>
      </c>
      <c r="B82" s="270">
        <f>SUM(B80:B81)</f>
        <v>4068555</v>
      </c>
      <c r="C82" s="270">
        <f>SUM(C80:C81)</f>
        <v>4068555</v>
      </c>
      <c r="D82" s="270">
        <f t="shared" si="1"/>
        <v>0</v>
      </c>
      <c r="E82" s="268"/>
      <c r="F82" s="267"/>
    </row>
    <row r="83" spans="1:6" s="352" customFormat="1" ht="13">
      <c r="A83" s="264" t="s">
        <v>765</v>
      </c>
      <c r="B83" s="264"/>
      <c r="C83" s="264"/>
      <c r="D83" s="264"/>
      <c r="E83" s="282"/>
      <c r="F83" s="264"/>
    </row>
    <row r="84" spans="1:6" s="352" customFormat="1" ht="13.75" customHeight="1">
      <c r="A84" s="269" t="s">
        <v>766</v>
      </c>
      <c r="B84" s="266">
        <f>'Sources and Uses Budget'!$C83</f>
        <v>144986</v>
      </c>
      <c r="C84" s="266">
        <f>'Sources and Uses Budget'!$C83</f>
        <v>144986</v>
      </c>
      <c r="D84" s="270">
        <f t="shared" si="1"/>
        <v>0</v>
      </c>
      <c r="E84" s="268"/>
      <c r="F84" s="267"/>
    </row>
    <row r="85" spans="1:6" s="352" customFormat="1">
      <c r="A85" s="269" t="s">
        <v>767</v>
      </c>
      <c r="B85" s="266">
        <f>'Sources and Uses Budget'!$C84</f>
        <v>292510</v>
      </c>
      <c r="C85" s="266">
        <f>'Sources and Uses Budget'!$C84</f>
        <v>292510</v>
      </c>
      <c r="D85" s="270">
        <f t="shared" si="1"/>
        <v>0</v>
      </c>
      <c r="E85" s="268"/>
      <c r="F85" s="267"/>
    </row>
    <row r="86" spans="1:6" s="352" customFormat="1">
      <c r="A86" s="269" t="s">
        <v>768</v>
      </c>
      <c r="B86" s="266">
        <f>'Sources and Uses Budget'!$C85</f>
        <v>1137158</v>
      </c>
      <c r="C86" s="266">
        <f>'Sources and Uses Budget'!$C85</f>
        <v>1137158</v>
      </c>
      <c r="D86" s="270">
        <f t="shared" si="1"/>
        <v>0</v>
      </c>
      <c r="E86" s="268"/>
      <c r="F86" s="267"/>
    </row>
    <row r="87" spans="1:6" s="352" customFormat="1">
      <c r="A87" s="269" t="s">
        <v>769</v>
      </c>
      <c r="B87" s="266">
        <f>'Sources and Uses Budget'!$C86</f>
        <v>300000</v>
      </c>
      <c r="C87" s="266">
        <f>'Sources and Uses Budget'!$C86</f>
        <v>300000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805094</v>
      </c>
      <c r="C89" s="266">
        <f>'Sources and Uses Budget'!$C88</f>
        <v>805094</v>
      </c>
      <c r="D89" s="270">
        <f t="shared" si="1"/>
        <v>0</v>
      </c>
      <c r="E89" s="268"/>
      <c r="F89" s="267"/>
    </row>
    <row r="90" spans="1:6" s="352" customFormat="1">
      <c r="A90" s="269" t="s">
        <v>772</v>
      </c>
      <c r="B90" s="266">
        <f>'Sources and Uses Budget'!$C89</f>
        <v>139500</v>
      </c>
      <c r="C90" s="266">
        <f>'Sources and Uses Budget'!$C89</f>
        <v>139500</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774</v>
      </c>
      <c r="B97" s="270">
        <f>SUM(B84:B96)</f>
        <v>2839248</v>
      </c>
      <c r="C97" s="270">
        <f>SUM(C84:C96)</f>
        <v>2839248</v>
      </c>
      <c r="D97" s="270">
        <f t="shared" si="1"/>
        <v>0</v>
      </c>
      <c r="E97" s="268"/>
      <c r="F97" s="267"/>
    </row>
    <row r="98" spans="1:6" s="352" customFormat="1" ht="13">
      <c r="A98" s="271" t="s">
        <v>775</v>
      </c>
      <c r="B98" s="270">
        <f>SUM(B64+B71+B78+B82+B97)</f>
        <v>98874109</v>
      </c>
      <c r="C98" s="270">
        <f>SUM(C64+C71+C78+C82+C97)</f>
        <v>98874109</v>
      </c>
      <c r="D98" s="270">
        <f t="shared" si="1"/>
        <v>0</v>
      </c>
      <c r="E98" s="268"/>
      <c r="F98" s="267"/>
    </row>
    <row r="99" spans="1:6" s="352" customFormat="1" ht="13">
      <c r="A99" s="264" t="s">
        <v>776</v>
      </c>
      <c r="B99" s="264"/>
      <c r="C99" s="264"/>
      <c r="D99" s="264"/>
      <c r="E99" s="282"/>
      <c r="F99" s="264"/>
    </row>
    <row r="100" spans="1:6" s="352" customFormat="1">
      <c r="A100" s="145" t="s">
        <v>777</v>
      </c>
      <c r="B100" s="266">
        <f>'Sources and Uses Budget'!$C99</f>
        <v>13165392</v>
      </c>
      <c r="C100" s="266">
        <f>'Sources and Uses Budget'!$C99</f>
        <v>13165392</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779</v>
      </c>
      <c r="B105" s="270">
        <f>SUM(B100:B104)</f>
        <v>13165392</v>
      </c>
      <c r="C105" s="270">
        <f>SUM(C100:C104)</f>
        <v>13165392</v>
      </c>
      <c r="D105" s="270">
        <f t="shared" si="1"/>
        <v>0</v>
      </c>
      <c r="E105" s="268"/>
      <c r="F105" s="267"/>
    </row>
    <row r="106" spans="1:6" s="352" customFormat="1" ht="13">
      <c r="A106" s="271" t="s">
        <v>780</v>
      </c>
      <c r="B106" s="273">
        <f>SUM(B98+B105)</f>
        <v>112039501</v>
      </c>
      <c r="C106" s="273">
        <f>SUM(C98+C105)</f>
        <v>112039501</v>
      </c>
      <c r="D106" s="270">
        <f t="shared" si="1"/>
        <v>0</v>
      </c>
      <c r="E106" s="268"/>
      <c r="F106" s="267"/>
    </row>
    <row r="107" spans="1:6" s="352" customFormat="1" ht="13">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5" customHeight="1" zeroHeight="1"/>
  <cols>
    <col min="1" max="10" width="10.6328125" style="402" customWidth="1"/>
    <col min="11" max="16384" width="8.81640625" style="402" hidden="1"/>
  </cols>
  <sheetData>
    <row r="1" spans="1:10" ht="15.5">
      <c r="A1" s="1274" t="s">
        <v>1869</v>
      </c>
      <c r="B1" s="1275"/>
      <c r="C1" s="1275"/>
      <c r="D1" s="1275"/>
      <c r="E1" s="1275"/>
      <c r="F1" s="1275"/>
      <c r="G1" s="1275"/>
      <c r="H1" s="1275"/>
      <c r="I1" s="1275"/>
      <c r="J1" s="1275"/>
    </row>
    <row r="2" spans="1:10" ht="15.5">
      <c r="A2" s="1278" t="s">
        <v>1268</v>
      </c>
      <c r="B2" s="1279"/>
      <c r="C2" s="1279"/>
      <c r="D2" s="1279"/>
      <c r="E2" s="1279"/>
      <c r="F2" s="1279"/>
      <c r="G2" s="1279"/>
      <c r="H2" s="1279"/>
      <c r="I2" s="1279"/>
      <c r="J2" s="1279"/>
    </row>
    <row r="3" spans="1:10"/>
    <row r="4" spans="1:10" ht="12.75" customHeight="1">
      <c r="A4" s="1276" t="s">
        <v>2047</v>
      </c>
      <c r="B4" s="1276"/>
      <c r="C4" s="1276"/>
      <c r="D4" s="1276"/>
      <c r="E4" s="1276"/>
      <c r="F4" s="1276"/>
      <c r="G4" s="1276"/>
      <c r="H4" s="1276"/>
      <c r="I4" s="1276"/>
      <c r="J4" s="1276"/>
    </row>
    <row r="5" spans="1:10">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row r="10" spans="1:10" ht="12.75" customHeight="1">
      <c r="A10" s="1280" t="s">
        <v>1874</v>
      </c>
      <c r="B10" s="1280"/>
      <c r="C10" s="1280"/>
      <c r="D10" s="1280"/>
      <c r="E10" s="1280"/>
      <c r="F10" s="1280"/>
      <c r="G10" s="1280"/>
      <c r="H10" s="1280"/>
      <c r="I10" s="1280"/>
      <c r="J10" s="1280"/>
    </row>
    <row r="11" spans="1:10">
      <c r="A11" s="1280"/>
      <c r="B11" s="1280"/>
      <c r="C11" s="1280"/>
      <c r="D11" s="1280"/>
      <c r="E11" s="1280"/>
      <c r="F11" s="1280"/>
      <c r="G11" s="1280"/>
      <c r="H11" s="1280"/>
      <c r="I11" s="1280"/>
      <c r="J11" s="1280"/>
    </row>
    <row r="12" spans="1:10">
      <c r="A12" s="1280"/>
      <c r="B12" s="1280"/>
      <c r="C12" s="1280"/>
      <c r="D12" s="1280"/>
      <c r="E12" s="1280"/>
      <c r="F12" s="1280"/>
      <c r="G12" s="1280"/>
      <c r="H12" s="1280"/>
      <c r="I12" s="1280"/>
      <c r="J12" s="1280"/>
    </row>
    <row r="13" spans="1:10">
      <c r="A13" s="1280"/>
      <c r="B13" s="1280"/>
      <c r="C13" s="1280"/>
      <c r="D13" s="1280"/>
      <c r="E13" s="1280"/>
      <c r="F13" s="1280"/>
      <c r="G13" s="1280"/>
      <c r="H13" s="1280"/>
      <c r="I13" s="1280"/>
      <c r="J13" s="1280"/>
    </row>
    <row r="14" spans="1:10">
      <c r="A14" s="1280"/>
      <c r="B14" s="1280"/>
      <c r="C14" s="1280"/>
      <c r="D14" s="1280"/>
      <c r="E14" s="1280"/>
      <c r="F14" s="1280"/>
      <c r="G14" s="1280"/>
      <c r="H14" s="1280"/>
      <c r="I14" s="1280"/>
      <c r="J14" s="1280"/>
    </row>
    <row r="15" spans="1:10">
      <c r="A15" s="1280"/>
      <c r="B15" s="1280"/>
      <c r="C15" s="1280"/>
      <c r="D15" s="1280"/>
      <c r="E15" s="1280"/>
      <c r="F15" s="1280"/>
      <c r="G15" s="1280"/>
      <c r="H15" s="1280"/>
      <c r="I15" s="1280"/>
      <c r="J15" s="1280"/>
    </row>
    <row r="16" spans="1:10">
      <c r="A16" s="524"/>
      <c r="B16" s="524"/>
      <c r="C16" s="524"/>
      <c r="D16" s="524"/>
      <c r="E16" s="524"/>
      <c r="F16" s="524"/>
      <c r="G16" s="524"/>
      <c r="H16" s="524"/>
      <c r="I16" s="524"/>
      <c r="J16" s="524"/>
    </row>
    <row r="17" spans="1:10">
      <c r="A17" s="476" t="s">
        <v>1873</v>
      </c>
      <c r="B17" s="416"/>
      <c r="C17" s="416"/>
      <c r="D17" s="416"/>
      <c r="E17" s="416"/>
      <c r="F17" s="416"/>
      <c r="G17" s="416"/>
      <c r="H17" s="416"/>
      <c r="I17" s="416"/>
      <c r="J17" s="416"/>
    </row>
    <row r="18" spans="1:10">
      <c r="A18" s="416" t="s">
        <v>249</v>
      </c>
      <c r="B18" s="416"/>
      <c r="C18" s="416"/>
      <c r="D18" s="416"/>
      <c r="E18" s="416"/>
      <c r="F18" s="416"/>
      <c r="G18" s="416"/>
      <c r="H18" s="416"/>
      <c r="I18" s="416"/>
      <c r="J18" s="416"/>
    </row>
    <row r="19" spans="1:10">
      <c r="A19" s="1279" t="s">
        <v>1189</v>
      </c>
      <c r="B19" s="1279"/>
      <c r="C19" s="1279"/>
      <c r="D19" s="1279"/>
      <c r="E19" s="1279"/>
    </row>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c r="A56" s="1276" t="s">
        <v>1190</v>
      </c>
      <c r="B56" s="1276"/>
      <c r="C56" s="1276"/>
      <c r="D56" s="1276"/>
      <c r="E56" s="1276"/>
      <c r="F56" s="1276"/>
      <c r="G56" s="1276"/>
      <c r="H56" s="1276"/>
      <c r="I56" s="1276"/>
      <c r="J56" s="1276"/>
    </row>
    <row r="57" spans="1:10">
      <c r="A57" s="1276"/>
      <c r="B57" s="1276"/>
      <c r="C57" s="1276"/>
      <c r="D57" s="1276"/>
      <c r="E57" s="1276"/>
      <c r="F57" s="1276"/>
      <c r="G57" s="1276"/>
      <c r="H57" s="1276"/>
      <c r="I57" s="1276"/>
      <c r="J57" s="1276"/>
    </row>
    <row r="58" spans="1:10">
      <c r="A58" s="1276"/>
      <c r="B58" s="1276"/>
      <c r="C58" s="1276"/>
      <c r="D58" s="1276"/>
      <c r="E58" s="1276"/>
      <c r="F58" s="1276"/>
      <c r="G58" s="1276"/>
      <c r="H58" s="1276"/>
      <c r="I58" s="1276"/>
      <c r="J58" s="1276"/>
    </row>
    <row r="59" spans="1:10"/>
    <row r="60" spans="1:10">
      <c r="A60" s="402" t="s">
        <v>1189</v>
      </c>
    </row>
    <row r="61" spans="1:10"/>
    <row r="62" spans="1:10"/>
    <row r="63" spans="1:10"/>
    <row r="64" spans="1:10"/>
    <row r="65" spans="1:9"/>
    <row r="66" spans="1:9"/>
    <row r="67" spans="1:9"/>
    <row r="68" spans="1:9"/>
    <row r="69" spans="1:9"/>
    <row r="70" spans="1:9"/>
    <row r="71" spans="1:9" ht="13">
      <c r="A71" s="1277" t="s">
        <v>1870</v>
      </c>
      <c r="B71" s="1277"/>
      <c r="C71" s="1277"/>
      <c r="D71" s="1277"/>
      <c r="E71" s="1277"/>
      <c r="F71" s="1277"/>
      <c r="G71" s="1277"/>
      <c r="H71" s="1277"/>
      <c r="I71" s="1277"/>
    </row>
    <row r="72" spans="1:9">
      <c r="A72" s="1269" t="s">
        <v>2045</v>
      </c>
      <c r="B72" s="1269"/>
      <c r="C72" s="1269"/>
      <c r="D72" s="1269"/>
      <c r="E72" s="1269"/>
    </row>
    <row r="73" spans="1:9">
      <c r="A73" s="1269" t="s">
        <v>2046</v>
      </c>
      <c r="B73" s="1269"/>
      <c r="C73" s="1269"/>
      <c r="D73" s="1269"/>
      <c r="E73" s="1269"/>
    </row>
    <row r="74" spans="1:9">
      <c r="A74" s="1269" t="s">
        <v>1871</v>
      </c>
      <c r="B74" s="1269"/>
      <c r="C74" s="1269"/>
      <c r="D74" s="1269"/>
      <c r="E74" s="1269"/>
    </row>
    <row r="75" spans="1:9"/>
    <row r="76" spans="1:9"/>
    <row r="77" spans="1:9"/>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1" zoomScale="88" zoomScaleNormal="100" workbookViewId="0">
      <selection activeCell="B180" sqref="B180"/>
    </sheetView>
  </sheetViews>
  <sheetFormatPr defaultColWidth="0" defaultRowHeight="13" zeroHeight="1"/>
  <cols>
    <col min="1" max="1" width="3.453125" style="480" customWidth="1"/>
    <col min="2" max="2" width="13.453125" style="480" customWidth="1"/>
    <col min="3" max="3" width="2.453125" style="480" customWidth="1"/>
    <col min="4" max="5" width="3.453125" style="402" customWidth="1"/>
    <col min="6" max="6" width="65.453125" style="402" customWidth="1"/>
    <col min="7" max="7" width="1.453125" style="402" customWidth="1"/>
    <col min="8" max="8" width="3.453125" style="402" customWidth="1"/>
    <col min="9" max="9" width="9.1796875" style="404" customWidth="1"/>
    <col min="10" max="10" width="8.81640625" style="402" hidden="1" customWidth="1"/>
    <col min="11" max="16384" width="8.8164062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5"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c r="A15" s="484"/>
      <c r="B15" s="485" t="s">
        <v>2742</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c r="A20" s="484"/>
      <c r="B20" s="485" t="s">
        <v>2742</v>
      </c>
      <c r="D20" s="1301" t="s">
        <v>1923</v>
      </c>
      <c r="E20" s="1301"/>
      <c r="F20" s="1301"/>
      <c r="I20" s="490"/>
    </row>
    <row r="21" spans="1:9">
      <c r="A21" s="484"/>
      <c r="D21" s="1301"/>
      <c r="E21" s="1301"/>
      <c r="F21" s="1301"/>
      <c r="I21" s="490"/>
    </row>
    <row r="22" spans="1:9">
      <c r="A22" s="484"/>
      <c r="D22" s="392"/>
      <c r="E22" s="96" t="s">
        <v>1919</v>
      </c>
      <c r="F22" s="392"/>
      <c r="I22" s="490"/>
    </row>
    <row r="23" spans="1:9">
      <c r="A23" s="484"/>
      <c r="B23" s="484"/>
      <c r="D23" s="446"/>
      <c r="I23" s="490"/>
    </row>
    <row r="24" spans="1:9">
      <c r="A24" s="484"/>
      <c r="B24" s="485" t="s">
        <v>2645</v>
      </c>
      <c r="D24" s="1301" t="s">
        <v>1091</v>
      </c>
      <c r="E24" s="1301"/>
      <c r="F24" s="1301"/>
      <c r="I24" s="490"/>
    </row>
    <row r="25" spans="1:9">
      <c r="A25" s="484"/>
      <c r="B25" s="484"/>
      <c r="D25" s="1301"/>
      <c r="E25" s="1301"/>
      <c r="F25" s="1301"/>
      <c r="I25" s="490"/>
    </row>
    <row r="26" spans="1:9">
      <c r="I26" s="490"/>
    </row>
    <row r="27" spans="1:9">
      <c r="A27" s="484"/>
      <c r="B27" s="485" t="s">
        <v>2742</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2645</v>
      </c>
      <c r="D33" s="1301" t="s">
        <v>2049</v>
      </c>
      <c r="E33" s="1301"/>
      <c r="F33" s="1301"/>
      <c r="I33" s="490"/>
    </row>
    <row r="34" spans="1:9">
      <c r="D34" s="1301"/>
      <c r="E34" s="1301"/>
      <c r="F34" s="1301"/>
      <c r="I34" s="490"/>
    </row>
    <row r="35" spans="1:9">
      <c r="A35" s="484"/>
      <c r="B35" s="484"/>
      <c r="D35" s="447"/>
      <c r="I35" s="490"/>
    </row>
    <row r="36" spans="1:9" ht="14.5" customHeight="1">
      <c r="A36" s="484"/>
      <c r="B36" s="485" t="s">
        <v>2645</v>
      </c>
      <c r="D36" s="1301" t="s">
        <v>1214</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2645</v>
      </c>
      <c r="D41" s="1301" t="s">
        <v>1092</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2742</v>
      </c>
      <c r="D47" s="1301" t="s">
        <v>1093</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2645</v>
      </c>
      <c r="D52" s="1301" t="s">
        <v>1094</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2742</v>
      </c>
      <c r="D56" s="1324" t="s">
        <v>1095</v>
      </c>
      <c r="E56" s="1324"/>
      <c r="F56" s="1324"/>
      <c r="I56" s="490"/>
    </row>
    <row r="57" spans="1:9">
      <c r="A57" s="484"/>
      <c r="B57" s="484"/>
      <c r="D57" s="1324"/>
      <c r="E57" s="1324"/>
      <c r="F57" s="1324"/>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2645</v>
      </c>
      <c r="D61" s="1301" t="s">
        <v>1096</v>
      </c>
      <c r="E61" s="1301"/>
      <c r="F61" s="1301"/>
      <c r="I61" s="490"/>
    </row>
    <row r="62" spans="1:9">
      <c r="D62" s="1301"/>
      <c r="E62" s="1301"/>
      <c r="F62" s="1301"/>
      <c r="I62" s="490"/>
    </row>
    <row r="63" spans="1:9">
      <c r="D63" s="1301"/>
      <c r="E63" s="1301"/>
      <c r="F63" s="1301"/>
      <c r="I63" s="490"/>
    </row>
    <row r="64" spans="1:9">
      <c r="I64" s="490"/>
    </row>
    <row r="65" spans="1:9">
      <c r="A65" s="484"/>
      <c r="B65" s="485" t="s">
        <v>2645</v>
      </c>
      <c r="D65" s="1301" t="s">
        <v>1097</v>
      </c>
      <c r="E65" s="1301"/>
      <c r="F65" s="1301"/>
      <c r="I65" s="490"/>
    </row>
    <row r="66" spans="1:9">
      <c r="D66" s="1301"/>
      <c r="E66" s="1301"/>
      <c r="F66" s="1301"/>
      <c r="I66" s="490"/>
    </row>
    <row r="67" spans="1:9">
      <c r="I67" s="490"/>
    </row>
    <row r="68" spans="1:9">
      <c r="A68" s="484"/>
      <c r="B68" s="485" t="s">
        <v>2645</v>
      </c>
      <c r="D68" s="1301" t="s">
        <v>1098</v>
      </c>
      <c r="E68" s="1301"/>
      <c r="F68" s="1301"/>
      <c r="I68" s="490"/>
    </row>
    <row r="69" spans="1:9">
      <c r="D69" s="1301"/>
      <c r="E69" s="1301"/>
      <c r="F69" s="1301"/>
      <c r="I69" s="490"/>
    </row>
    <row r="70" spans="1:9">
      <c r="D70" s="1301"/>
      <c r="E70" s="1301"/>
      <c r="F70" s="1301"/>
      <c r="I70" s="490"/>
    </row>
    <row r="71" spans="1:9">
      <c r="I71" s="490"/>
    </row>
    <row r="72" spans="1:9">
      <c r="A72" s="484"/>
      <c r="B72" s="485" t="s">
        <v>2645</v>
      </c>
      <c r="D72" s="1301" t="s">
        <v>1099</v>
      </c>
      <c r="E72" s="1301"/>
      <c r="F72" s="1301"/>
      <c r="I72" s="490"/>
    </row>
    <row r="73" spans="1:9">
      <c r="D73" s="1301"/>
      <c r="E73" s="1301"/>
      <c r="F73" s="1301"/>
      <c r="I73" s="490"/>
    </row>
    <row r="74" spans="1:9">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5" customHeight="1">
      <c r="A80" s="484"/>
      <c r="B80" s="485" t="s">
        <v>2742</v>
      </c>
      <c r="D80" s="1301" t="s">
        <v>1245</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2742</v>
      </c>
      <c r="D89" s="1301" t="s">
        <v>1742</v>
      </c>
      <c r="E89" s="1301"/>
      <c r="F89" s="1301"/>
      <c r="I89" s="490"/>
    </row>
    <row r="90" spans="1:9">
      <c r="A90" s="484"/>
      <c r="B90" s="484"/>
      <c r="D90" s="1301"/>
      <c r="E90" s="1301"/>
      <c r="F90" s="1301"/>
      <c r="I90" s="490"/>
    </row>
    <row r="91" spans="1:9">
      <c r="A91" s="484"/>
      <c r="B91" s="484"/>
      <c r="D91" s="445"/>
      <c r="E91" s="445"/>
      <c r="F91" s="445"/>
      <c r="I91" s="490"/>
    </row>
    <row r="92" spans="1:9">
      <c r="A92" s="484"/>
      <c r="B92" s="485" t="s">
        <v>2742</v>
      </c>
      <c r="D92" s="1301" t="s">
        <v>1745</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2742</v>
      </c>
      <c r="D96" s="1301" t="s">
        <v>1744</v>
      </c>
      <c r="E96" s="1301"/>
      <c r="F96" s="1301"/>
      <c r="I96" s="490"/>
    </row>
    <row r="97" spans="1:9" s="987" customFormat="1">
      <c r="A97" s="985"/>
      <c r="B97" s="985"/>
      <c r="C97" s="986"/>
      <c r="D97" s="1301"/>
      <c r="E97" s="1301"/>
      <c r="F97" s="1301"/>
      <c r="I97" s="1154"/>
    </row>
    <row r="98" spans="1:9">
      <c r="A98" s="484"/>
      <c r="B98" s="484"/>
      <c r="D98" s="392"/>
      <c r="E98" s="312" t="s">
        <v>1924</v>
      </c>
      <c r="F98" s="445"/>
      <c r="I98" s="490"/>
    </row>
    <row r="99" spans="1:9">
      <c r="A99" s="484"/>
      <c r="B99" s="484"/>
      <c r="D99" s="385"/>
      <c r="E99" s="385"/>
      <c r="F99" s="385"/>
      <c r="I99" s="490"/>
    </row>
    <row r="100" spans="1:9">
      <c r="A100" s="484"/>
      <c r="B100" s="485" t="s">
        <v>2645</v>
      </c>
      <c r="D100" s="1301" t="s">
        <v>1743</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2645</v>
      </c>
      <c r="D103" s="1301" t="s">
        <v>1194</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2645</v>
      </c>
      <c r="D119" s="1323" t="s">
        <v>1103</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2742</v>
      </c>
      <c r="C128" s="402"/>
      <c r="D128" s="1323" t="s">
        <v>2050</v>
      </c>
      <c r="E128" s="1323"/>
      <c r="F128" s="1323"/>
      <c r="I128" s="490"/>
    </row>
    <row r="129" spans="1:9">
      <c r="A129" s="484"/>
      <c r="B129" s="484"/>
      <c r="C129" s="402"/>
      <c r="D129" s="1323"/>
      <c r="E129" s="1323"/>
      <c r="F129" s="1323"/>
      <c r="I129" s="490"/>
    </row>
    <row r="130" spans="1:9">
      <c r="I130" s="490"/>
    </row>
    <row r="131" spans="1:9">
      <c r="A131" s="484"/>
      <c r="B131" s="485" t="s">
        <v>2742</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2742</v>
      </c>
      <c r="D137" s="1301" t="s">
        <v>1105</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2645</v>
      </c>
      <c r="D151" s="1301" t="s">
        <v>1177</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2073</v>
      </c>
      <c r="E169" s="1320"/>
      <c r="F169" s="1320"/>
      <c r="G169" s="507"/>
      <c r="I169" s="490"/>
    </row>
    <row r="170" spans="1:9" ht="13.75" customHeight="1">
      <c r="D170" s="1318"/>
      <c r="E170" s="1318"/>
      <c r="F170" s="1318"/>
      <c r="G170" s="1318"/>
      <c r="I170" s="490"/>
    </row>
    <row r="171" spans="1:9" ht="14.5" customHeight="1">
      <c r="A171" s="489"/>
      <c r="B171" s="485" t="s">
        <v>2645</v>
      </c>
      <c r="C171" s="476"/>
      <c r="D171" s="1272" t="s">
        <v>2213</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2645</v>
      </c>
      <c r="C177" s="476"/>
      <c r="D177" s="1272" t="s">
        <v>1106</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2645</v>
      </c>
      <c r="D182" s="1313" t="s">
        <v>2051</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2742</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2645</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2742</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2645</v>
      </c>
      <c r="D209" s="386" t="s">
        <v>1895</v>
      </c>
      <c r="E209" s="385"/>
      <c r="F209" s="385"/>
      <c r="I209" s="490"/>
    </row>
    <row r="210" spans="1:9">
      <c r="A210" s="484"/>
      <c r="B210" s="484"/>
      <c r="D210" s="1288" t="s">
        <v>1902</v>
      </c>
      <c r="E210" s="1288"/>
      <c r="F210" s="1288"/>
      <c r="I210" s="490"/>
    </row>
    <row r="211" spans="1:9">
      <c r="D211" s="385"/>
      <c r="E211" s="1325" t="s">
        <v>1928</v>
      </c>
      <c r="F211" s="1325"/>
      <c r="I211" s="490"/>
    </row>
    <row r="212" spans="1:9">
      <c r="D212" s="447"/>
      <c r="I212" s="490"/>
    </row>
    <row r="213" spans="1:9">
      <c r="B213" s="485" t="s">
        <v>2645</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c r="A217" s="484"/>
      <c r="B217" s="485" t="s">
        <v>2645</v>
      </c>
      <c r="D217" s="1301" t="s">
        <v>1216</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5" customHeight="1">
      <c r="A227" s="490"/>
      <c r="C227" s="490"/>
      <c r="D227" s="1309" t="s">
        <v>546</v>
      </c>
      <c r="E227" s="1309"/>
      <c r="F227" s="1309"/>
      <c r="I227" s="490"/>
    </row>
    <row r="228" spans="1:9">
      <c r="A228" s="484"/>
      <c r="B228" s="485" t="s">
        <v>2742</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2742</v>
      </c>
      <c r="D233" s="1301" t="s">
        <v>1754</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1118</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2742</v>
      </c>
      <c r="D245" s="1301" t="s">
        <v>2053</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1896</v>
      </c>
      <c r="I248" s="490"/>
    </row>
    <row r="249" spans="1:9">
      <c r="A249" s="484"/>
      <c r="B249" s="484"/>
      <c r="D249" s="446"/>
      <c r="E249" s="446"/>
      <c r="F249" s="446"/>
      <c r="I249" s="490"/>
    </row>
    <row r="250" spans="1:9" ht="14.5" customHeight="1">
      <c r="A250" s="484"/>
      <c r="B250" s="485" t="s">
        <v>2645</v>
      </c>
      <c r="D250" s="1301" t="s">
        <v>2054</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2742</v>
      </c>
      <c r="D256" s="392" t="s">
        <v>2055</v>
      </c>
      <c r="E256" s="445"/>
      <c r="F256" s="445"/>
      <c r="I256" s="490"/>
    </row>
    <row r="257" spans="1:9">
      <c r="A257" s="484"/>
      <c r="B257" s="484"/>
      <c r="E257" s="1036" t="s">
        <v>1897</v>
      </c>
      <c r="I257" s="490"/>
    </row>
    <row r="258" spans="1:9">
      <c r="D258" s="446"/>
      <c r="E258" s="446"/>
      <c r="F258" s="446"/>
      <c r="I258" s="490"/>
    </row>
    <row r="259" spans="1:9">
      <c r="A259" s="484"/>
      <c r="B259" s="485" t="s">
        <v>2742</v>
      </c>
      <c r="D259" s="1301" t="s">
        <v>1119</v>
      </c>
      <c r="E259" s="1301"/>
      <c r="F259" s="1301"/>
      <c r="I259" s="490"/>
    </row>
    <row r="260" spans="1:9">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2742</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5" customHeight="1">
      <c r="A271" s="484"/>
      <c r="B271" s="485" t="s">
        <v>2645</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2645</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c r="A290" s="484"/>
      <c r="B290" s="485" t="s">
        <v>2645</v>
      </c>
      <c r="D290" s="1301" t="s">
        <v>1125</v>
      </c>
      <c r="E290" s="1301"/>
      <c r="F290" s="1301"/>
      <c r="I290" s="490"/>
    </row>
    <row r="291" spans="1:9">
      <c r="A291" s="484"/>
      <c r="B291" s="484"/>
      <c r="D291" s="1301"/>
      <c r="E291" s="1301"/>
      <c r="F291" s="1301"/>
      <c r="I291" s="490"/>
    </row>
    <row r="292" spans="1:9">
      <c r="D292" s="446"/>
      <c r="E292" s="446"/>
      <c r="F292" s="446"/>
      <c r="I292" s="490"/>
    </row>
    <row r="293" spans="1:9">
      <c r="A293" s="484"/>
      <c r="B293" s="485" t="s">
        <v>2645</v>
      </c>
      <c r="D293" s="1301" t="s">
        <v>1126</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2645</v>
      </c>
      <c r="D297" s="1301" t="s">
        <v>1127</v>
      </c>
      <c r="E297" s="1301"/>
      <c r="F297" s="1301"/>
      <c r="I297" s="490"/>
    </row>
    <row r="298" spans="1:9">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2645</v>
      </c>
      <c r="D305" s="1299" t="s">
        <v>1129</v>
      </c>
      <c r="E305" s="1299"/>
      <c r="F305" s="1299"/>
      <c r="I305" s="490"/>
    </row>
    <row r="306" spans="1:9">
      <c r="A306" s="484"/>
      <c r="B306" s="484"/>
      <c r="D306" s="494"/>
      <c r="E306" s="495"/>
      <c r="F306" s="495"/>
      <c r="I306" s="490"/>
    </row>
    <row r="307" spans="1:9" ht="13.75" customHeight="1">
      <c r="B307" s="485" t="s">
        <v>2645</v>
      </c>
      <c r="D307" s="1310" t="s">
        <v>1219</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2645</v>
      </c>
      <c r="D313" s="1310" t="s">
        <v>1130</v>
      </c>
      <c r="E313" s="1310"/>
      <c r="F313" s="1310"/>
      <c r="I313" s="490"/>
    </row>
    <row r="314" spans="1:9">
      <c r="D314" s="1310"/>
      <c r="E314" s="1310"/>
      <c r="F314" s="1310"/>
      <c r="I314" s="490"/>
    </row>
    <row r="315" spans="1:9">
      <c r="A315" s="484"/>
      <c r="B315" s="484"/>
      <c r="D315" s="494"/>
      <c r="E315" s="495"/>
      <c r="F315" s="495"/>
      <c r="I315" s="490"/>
    </row>
    <row r="316" spans="1:9">
      <c r="B316" s="485" t="s">
        <v>2645</v>
      </c>
      <c r="D316" s="1299" t="s">
        <v>1131</v>
      </c>
      <c r="E316" s="1299"/>
      <c r="F316" s="1299"/>
      <c r="I316" s="490"/>
    </row>
    <row r="317" spans="1:9">
      <c r="E317" s="446"/>
      <c r="F317" s="446"/>
      <c r="I317" s="490"/>
    </row>
    <row r="318" spans="1:9">
      <c r="A318" s="484"/>
      <c r="B318" s="485" t="s">
        <v>2645</v>
      </c>
      <c r="D318" s="1301" t="s">
        <v>2246</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2645</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2645</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2645</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c r="A360" s="484"/>
      <c r="B360" s="485" t="s">
        <v>2645</v>
      </c>
      <c r="C360" s="476"/>
      <c r="D360" s="1318" t="s">
        <v>2057</v>
      </c>
      <c r="E360" s="1318"/>
      <c r="F360" s="1318"/>
      <c r="I360" s="480"/>
    </row>
    <row r="361" spans="1:9">
      <c r="A361" s="476"/>
      <c r="B361" s="476"/>
      <c r="C361" s="476"/>
      <c r="D361" s="447"/>
      <c r="E361" s="447"/>
      <c r="F361" s="446"/>
      <c r="I361" s="490"/>
    </row>
    <row r="362" spans="1:9">
      <c r="A362" s="476"/>
      <c r="B362" s="485" t="s">
        <v>2645</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5" customHeight="1">
      <c r="A375" s="476"/>
      <c r="B375" s="485" t="s">
        <v>2645</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2645</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2645</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2645</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2645</v>
      </c>
      <c r="D423" s="1272" t="s">
        <v>1882</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2645</v>
      </c>
      <c r="C429" s="476"/>
      <c r="D429" s="1272" t="s">
        <v>1240</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c r="A435" s="484"/>
      <c r="B435" s="485" t="s">
        <v>2645</v>
      </c>
      <c r="C435" s="487"/>
      <c r="D435" s="1301" t="s">
        <v>2059</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2645</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2645</v>
      </c>
      <c r="C471" s="484"/>
      <c r="D471" s="1301" t="s">
        <v>1197</v>
      </c>
      <c r="E471" s="1301"/>
      <c r="F471" s="1301"/>
      <c r="I471" s="490"/>
    </row>
    <row r="472" spans="1:9">
      <c r="D472" s="1301"/>
      <c r="E472" s="1301"/>
      <c r="F472" s="1301"/>
      <c r="I472" s="490"/>
    </row>
    <row r="473" spans="1:9">
      <c r="D473" s="446"/>
      <c r="E473" s="446"/>
      <c r="F473" s="446"/>
      <c r="I473" s="490"/>
    </row>
    <row r="474" spans="1:9">
      <c r="B474" s="485" t="s">
        <v>2645</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2645</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2645</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2645</v>
      </c>
      <c r="C486" s="402"/>
      <c r="D486" s="1301"/>
      <c r="E486" s="1301"/>
      <c r="F486" s="1301"/>
      <c r="I486" s="490"/>
    </row>
    <row r="487" spans="1:9">
      <c r="A487" s="402"/>
      <c r="C487" s="402"/>
      <c r="D487" s="1301"/>
      <c r="E487" s="1301"/>
      <c r="F487" s="1301"/>
      <c r="I487" s="490"/>
    </row>
    <row r="488" spans="1:9">
      <c r="A488" s="402"/>
      <c r="B488" s="485" t="s">
        <v>2645</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2645</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c r="A499" s="484"/>
      <c r="B499" s="484"/>
      <c r="D499" s="1318" t="s">
        <v>1141</v>
      </c>
      <c r="E499" s="1318"/>
      <c r="F499" s="1318"/>
      <c r="I499" s="490"/>
    </row>
    <row r="500" spans="1:9">
      <c r="A500" s="484"/>
      <c r="B500" s="484"/>
      <c r="D500" s="447"/>
      <c r="I500" s="490"/>
    </row>
    <row r="501" spans="1:9">
      <c r="A501" s="484"/>
      <c r="B501" s="485" t="s">
        <v>2645</v>
      </c>
      <c r="D501" s="1272" t="s">
        <v>1142</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2645</v>
      </c>
      <c r="D504" s="1313" t="s">
        <v>1273</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2645</v>
      </c>
      <c r="D509" s="1299" t="s">
        <v>1143</v>
      </c>
      <c r="E509" s="1299"/>
      <c r="F509" s="1299"/>
      <c r="I509" s="490"/>
    </row>
    <row r="510" spans="1:9">
      <c r="A510" s="484"/>
      <c r="B510" s="484"/>
      <c r="D510" s="446"/>
      <c r="I510" s="490"/>
    </row>
    <row r="511" spans="1:9">
      <c r="A511" s="484"/>
      <c r="B511" s="485" t="s">
        <v>2645</v>
      </c>
      <c r="D511" s="1301" t="s">
        <v>1144</v>
      </c>
      <c r="E511" s="1301"/>
      <c r="F511" s="1301"/>
      <c r="I511" s="490"/>
    </row>
    <row r="512" spans="1:9">
      <c r="A512" s="484"/>
      <c r="D512" s="1301"/>
      <c r="E512" s="1301"/>
      <c r="F512" s="1301"/>
      <c r="I512" s="490"/>
    </row>
    <row r="513" spans="1:9">
      <c r="A513" s="490"/>
      <c r="B513" s="490"/>
      <c r="D513" s="447"/>
      <c r="I513" s="490"/>
    </row>
    <row r="514" spans="1:9">
      <c r="A514" s="490"/>
      <c r="B514" s="485" t="s">
        <v>2645</v>
      </c>
      <c r="D514" s="1299" t="s">
        <v>1145</v>
      </c>
      <c r="E514" s="1299"/>
      <c r="F514" s="1299"/>
      <c r="I514" s="490"/>
    </row>
    <row r="515" spans="1:9">
      <c r="D515" s="446"/>
      <c r="E515" s="446"/>
      <c r="F515" s="446"/>
      <c r="I515" s="490"/>
    </row>
    <row r="516" spans="1:9">
      <c r="B516" s="485" t="s">
        <v>2645</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2742</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2742</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5" customHeight="1">
      <c r="A536" s="483"/>
      <c r="B536" s="485" t="s">
        <v>2645</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5" customHeight="1">
      <c r="A548" s="484"/>
      <c r="B548" s="485" t="s">
        <v>2742</v>
      </c>
      <c r="C548" s="487"/>
      <c r="D548" s="1299" t="s">
        <v>884</v>
      </c>
      <c r="E548" s="1299"/>
      <c r="F548" s="1299"/>
      <c r="I548" s="490"/>
    </row>
    <row r="549" spans="1:9" ht="13.75" customHeight="1">
      <c r="A549" s="487"/>
      <c r="B549" s="487"/>
      <c r="C549" s="487"/>
      <c r="D549" s="446"/>
      <c r="I549" s="490"/>
    </row>
    <row r="550" spans="1:9">
      <c r="A550" s="484"/>
      <c r="B550" s="485" t="s">
        <v>2742</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2742</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2742</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2742</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2645</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2742</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2742</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c r="A572" s="484"/>
      <c r="B572" s="484"/>
      <c r="C572" s="487"/>
      <c r="E572" s="446"/>
      <c r="F572" s="446"/>
      <c r="I572" s="490"/>
    </row>
    <row r="573" spans="1:9">
      <c r="A573" s="484"/>
      <c r="B573" s="485" t="s">
        <v>2742</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2742</v>
      </c>
      <c r="C578" s="487"/>
      <c r="D578" s="1301" t="s">
        <v>2063</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2742</v>
      </c>
      <c r="D588" s="1313" t="s">
        <v>888</v>
      </c>
      <c r="E588" s="1313"/>
      <c r="F588" s="1313"/>
      <c r="I588" s="490"/>
    </row>
    <row r="589" spans="1:9">
      <c r="A589" s="490"/>
      <c r="B589" s="490"/>
      <c r="D589" s="476"/>
      <c r="I589" s="490"/>
    </row>
    <row r="590" spans="1:9">
      <c r="A590" s="490"/>
      <c r="B590" s="485" t="s">
        <v>2742</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2645</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2742</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2645</v>
      </c>
      <c r="D602" s="1313" t="s">
        <v>1069</v>
      </c>
      <c r="E602" s="1313"/>
      <c r="F602" s="1313"/>
      <c r="I602" s="490"/>
    </row>
    <row r="603" spans="1:9">
      <c r="A603" s="490"/>
      <c r="B603" s="490"/>
      <c r="D603" s="1313"/>
      <c r="E603" s="1313"/>
      <c r="F603" s="1313"/>
      <c r="I603" s="490"/>
    </row>
    <row r="604" spans="1:9">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2742</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2742</v>
      </c>
      <c r="D620" s="1307" t="s">
        <v>1111</v>
      </c>
      <c r="E620" s="1307"/>
      <c r="F620" s="1307"/>
      <c r="I620" s="490"/>
    </row>
    <row r="621" spans="1:9">
      <c r="D621" s="1307"/>
      <c r="E621" s="1307"/>
      <c r="F621" s="1307"/>
      <c r="I621" s="490"/>
    </row>
    <row r="622" spans="1:9">
      <c r="I622" s="490"/>
    </row>
    <row r="623" spans="1:9">
      <c r="B623" s="485" t="s">
        <v>2742</v>
      </c>
      <c r="D623" s="1307" t="s">
        <v>1112</v>
      </c>
      <c r="E623" s="1307"/>
      <c r="F623" s="1307"/>
      <c r="I623" s="490"/>
    </row>
    <row r="624" spans="1:9">
      <c r="C624" s="500"/>
      <c r="D624" s="1307"/>
      <c r="E624" s="1307"/>
      <c r="F624" s="1307"/>
      <c r="I624" s="490"/>
    </row>
    <row r="625" spans="1:9">
      <c r="C625" s="500"/>
      <c r="I625" s="490"/>
    </row>
    <row r="626" spans="1:9">
      <c r="B626" s="485" t="s">
        <v>2645</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2742</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2645</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2645</v>
      </c>
      <c r="C643" s="487"/>
      <c r="D643" s="1301" t="s">
        <v>1225</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2645</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2742</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2742</v>
      </c>
      <c r="C658" s="487"/>
      <c r="D658" s="1301" t="s">
        <v>1283</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2645</v>
      </c>
      <c r="C664" s="487"/>
      <c r="D664" s="1301" t="s">
        <v>1282</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2645</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c r="A685" s="484"/>
      <c r="B685" s="485" t="s">
        <v>2742</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2645</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2742</v>
      </c>
      <c r="C694" s="483"/>
      <c r="D694" s="1299" t="s">
        <v>917</v>
      </c>
      <c r="E694" s="1299"/>
      <c r="F694" s="1299"/>
      <c r="H694" s="501"/>
      <c r="I694" s="483"/>
      <c r="J694" s="501"/>
      <c r="K694" s="501"/>
    </row>
    <row r="695" spans="1:11">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2645</v>
      </c>
      <c r="C698" s="483"/>
      <c r="D698" s="1299" t="s">
        <v>2470</v>
      </c>
      <c r="E698" s="1299"/>
      <c r="F698" s="1299"/>
      <c r="H698" s="501"/>
      <c r="I698" s="483"/>
      <c r="J698" s="501"/>
      <c r="K698" s="501"/>
    </row>
    <row r="699" spans="1:11">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2742</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2742</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2645</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2645</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2645</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2645</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2645</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2645</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c r="A758" s="484"/>
      <c r="B758" s="485" t="s">
        <v>2742</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7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2645</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2742</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2645</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2645</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2742</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2645</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2645</v>
      </c>
      <c r="C794" s="989"/>
      <c r="D794" s="1294" t="s">
        <v>1758</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2645</v>
      </c>
      <c r="C798" s="989"/>
      <c r="D798" s="1294" t="s">
        <v>1759</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1802</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2645</v>
      </c>
      <c r="C808" s="989"/>
      <c r="D808" s="1294" t="s">
        <v>1760</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2645</v>
      </c>
      <c r="C815" s="989"/>
      <c r="D815" s="1294" t="s">
        <v>1761</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2645</v>
      </c>
      <c r="C822" s="989"/>
      <c r="D822" s="1289" t="s">
        <v>1762</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2742</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2742</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2645</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2645</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2645</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2742</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2742</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2645</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2645</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2645</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2742</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2742</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2742</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2645</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2645</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2645</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2645</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2742</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2742</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2742</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2645</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2645</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2742</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2742</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2742</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2645</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2645</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2742</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2742</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2742</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2742</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2645</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2645</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2742</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2742</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2742</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2645</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2645</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2645</v>
      </c>
      <c r="C1062" s="402"/>
      <c r="D1062" s="402" t="s">
        <v>1812</v>
      </c>
      <c r="I1062" s="490"/>
    </row>
    <row r="1063" spans="1:9">
      <c r="A1063" s="402"/>
      <c r="B1063" s="402"/>
      <c r="C1063" s="402"/>
      <c r="I1063" s="490"/>
    </row>
    <row r="1064" spans="1:9">
      <c r="A1064" s="402"/>
      <c r="B1064" s="485" t="s">
        <v>2742</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2742</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2645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2645</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2645</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2645</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2645</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2645</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2645</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ht="12.5">
      <c r="A1114" s="402"/>
      <c r="B1114" s="402"/>
      <c r="C1114" s="402"/>
      <c r="D1114" s="527"/>
      <c r="I1114" s="480"/>
    </row>
    <row r="1115" spans="1:9">
      <c r="A1115" s="402"/>
      <c r="B1115" s="485" t="s">
        <v>2645</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2742</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2645</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 right="0.7" top="0.75" bottom="0.75" header="0.3" footer="0.3"/>
  <pageSetup scale="77" fitToHeight="20" orientation="portrait" r:id="rId4"/>
  <headerFooter alignWithMargins="0"/>
  <rowBreaks count="32" manualBreakCount="32">
    <brk id="67" max="96" man="1"/>
    <brk id="74" max="96" man="1"/>
    <brk id="185" max="96" man="1"/>
    <brk id="190" max="96" man="1"/>
    <brk id="221" max="96" man="1"/>
    <brk id="261" max="96" man="1"/>
    <brk id="281" max="96" man="1"/>
    <brk id="299" max="96" man="1"/>
    <brk id="350" max="96" man="1"/>
    <brk id="407" max="96" man="1"/>
    <brk id="470" max="96" man="1"/>
    <brk id="495" max="96" man="1"/>
    <brk id="520" max="96" man="1"/>
    <brk id="538" max="96" man="1"/>
    <brk id="542" max="96" man="1"/>
    <brk id="582" max="96" man="1"/>
    <brk id="604" max="96" man="1"/>
    <brk id="613" max="96" man="1"/>
    <brk id="628" max="96" man="1"/>
    <brk id="647" max="96" man="1"/>
    <brk id="678" max="96" man="1"/>
    <brk id="780" max="96" man="1"/>
    <brk id="828" max="96" man="1"/>
    <brk id="869" max="96" man="1"/>
    <brk id="898" max="96" man="1"/>
    <brk id="962" max="96" man="1"/>
    <brk id="988" max="96" man="1"/>
    <brk id="1028" max="96" man="1"/>
    <brk id="1037" max="96" man="1"/>
    <brk id="1048" max="96" man="1"/>
    <brk id="1069" max="96" man="1"/>
    <brk id="1097" max="9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0" zoomScaleNormal="110" workbookViewId="0">
      <selection activeCell="A29" sqref="A29:AT31"/>
    </sheetView>
  </sheetViews>
  <sheetFormatPr defaultColWidth="0" defaultRowHeight="0" customHeight="1" zeroHeight="1"/>
  <cols>
    <col min="1" max="46" width="2.6328125" customWidth="1"/>
    <col min="47" max="47" width="2.6328125" hidden="1" customWidth="1"/>
    <col min="48" max="50" width="3.6328125" hidden="1" customWidth="1"/>
    <col min="51" max="51" width="4.6328125" hidden="1" customWidth="1"/>
    <col min="52" max="52" width="8.453125" hidden="1" customWidth="1"/>
    <col min="53" max="53" width="7.453125" hidden="1" customWidth="1"/>
    <col min="54" max="55" width="3.6328125" hidden="1" customWidth="1"/>
    <col min="56" max="56" width="8.36328125" hidden="1" customWidth="1"/>
    <col min="57" max="57" width="8.453125" hidden="1" customWidth="1"/>
    <col min="58" max="58" width="8.1796875" hidden="1" customWidth="1"/>
    <col min="59" max="59" width="11.1796875" hidden="1" customWidth="1"/>
    <col min="60" max="60" width="3.6328125" hidden="1" customWidth="1"/>
    <col min="61" max="61" width="8.36328125" hidden="1" customWidth="1"/>
    <col min="62" max="16384" width="3.63281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Bay Area ((Alameda, Contra Costa, Marin, San Francisco, San Mateo, Santa Clara, and Santa Cruz Counties)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64</v>
      </c>
    </row>
    <row r="8" spans="1:58" ht="26.25" customHeight="1">
      <c r="A8" s="1413" t="s">
        <v>100</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c r="Y8" s="1413"/>
      <c r="Z8" s="1413"/>
      <c r="AA8" s="1413"/>
      <c r="AB8" s="1413"/>
      <c r="AC8" s="1413"/>
      <c r="AD8" s="1413"/>
      <c r="AE8" s="1413"/>
      <c r="AF8" s="1413"/>
      <c r="AG8" s="1413"/>
      <c r="AH8" s="1413"/>
      <c r="AI8" s="1413"/>
      <c r="AJ8" s="1413"/>
      <c r="AK8" s="1413"/>
      <c r="AL8" s="1413"/>
      <c r="AM8" s="1413"/>
      <c r="AN8" s="1413"/>
      <c r="AO8" s="1413"/>
      <c r="AP8" s="1413"/>
      <c r="AQ8" s="1413"/>
      <c r="AR8" s="1413"/>
      <c r="AS8" s="1413"/>
      <c r="AT8" s="1413"/>
      <c r="AU8" s="898"/>
      <c r="AV8" s="898"/>
      <c r="AW8" s="898"/>
      <c r="AX8" s="898"/>
      <c r="AY8" s="898"/>
      <c r="BD8" s="3" t="s">
        <v>2511</v>
      </c>
      <c r="BE8" s="1249">
        <f>SUMIF($AC$718:$AC$752,"&lt;=35%",$G$718:G$752)-SUM($BE$5:BE7)</f>
        <v>0</v>
      </c>
    </row>
    <row r="9" spans="1:58" ht="13" customHeight="1">
      <c r="A9" s="1375" t="s">
        <v>2077</v>
      </c>
      <c r="B9" s="1375"/>
      <c r="C9" s="1375"/>
      <c r="D9" s="1375"/>
      <c r="E9" s="1375"/>
      <c r="F9" s="1375"/>
      <c r="G9" s="1375"/>
      <c r="H9" s="1375"/>
      <c r="I9" s="1375"/>
      <c r="J9" s="1375"/>
      <c r="K9" s="1375"/>
      <c r="L9" s="1375"/>
      <c r="M9" s="1375"/>
      <c r="N9" s="1375"/>
      <c r="O9" s="1375"/>
      <c r="P9" s="1375"/>
      <c r="Q9" s="1375"/>
      <c r="R9" s="1375"/>
      <c r="S9" s="1375"/>
      <c r="T9" s="1375"/>
      <c r="U9" s="1375"/>
      <c r="V9" s="1375"/>
      <c r="W9" s="1375"/>
      <c r="X9" s="1375"/>
      <c r="Y9" s="1375"/>
      <c r="Z9" s="1375"/>
      <c r="AA9" s="1375"/>
      <c r="AB9" s="1375"/>
      <c r="AC9" s="1375"/>
      <c r="AD9" s="1375"/>
      <c r="AE9" s="1375"/>
      <c r="AF9" s="1375"/>
      <c r="AG9" s="1375"/>
      <c r="AH9" s="1375"/>
      <c r="AI9" s="1375"/>
      <c r="AJ9" s="1375"/>
      <c r="AK9" s="1375"/>
      <c r="AL9" s="1375"/>
      <c r="AM9" s="1375"/>
      <c r="AN9" s="1375"/>
      <c r="AO9" s="1375"/>
      <c r="AP9" s="1375"/>
      <c r="AQ9" s="1375"/>
      <c r="AR9" s="1375"/>
      <c r="AS9" s="1375"/>
      <c r="AT9" s="1375"/>
      <c r="AU9" s="13"/>
      <c r="AV9" s="13"/>
      <c r="AW9" s="13"/>
      <c r="AX9" s="13"/>
      <c r="AY9" s="13"/>
      <c r="BD9" s="1248" t="s">
        <v>2503</v>
      </c>
      <c r="BE9" s="1249">
        <f>SUMIF($AC$718:$AC$752,"&lt;=40%",$G$718:G$752)-SUM($BE$5:BE8)</f>
        <v>20</v>
      </c>
    </row>
    <row r="10" spans="1:58" ht="13" customHeight="1">
      <c r="A10" s="1375" t="s">
        <v>2460</v>
      </c>
      <c r="B10" s="1375"/>
      <c r="C10" s="1375"/>
      <c r="D10" s="1375"/>
      <c r="E10" s="1375"/>
      <c r="F10" s="1375"/>
      <c r="G10" s="1375"/>
      <c r="H10" s="1375"/>
      <c r="I10" s="1375"/>
      <c r="J10" s="1375"/>
      <c r="K10" s="1375"/>
      <c r="L10" s="1375"/>
      <c r="M10" s="1375"/>
      <c r="N10" s="1375"/>
      <c r="O10" s="1375"/>
      <c r="P10" s="1375"/>
      <c r="Q10" s="1375"/>
      <c r="R10" s="1375"/>
      <c r="S10" s="1375"/>
      <c r="T10" s="1375"/>
      <c r="U10" s="1375"/>
      <c r="V10" s="1375"/>
      <c r="W10" s="1375"/>
      <c r="X10" s="1375"/>
      <c r="Y10" s="1375"/>
      <c r="Z10" s="1375"/>
      <c r="AA10" s="1375"/>
      <c r="AB10" s="1375"/>
      <c r="AC10" s="1375"/>
      <c r="AD10" s="1375"/>
      <c r="AE10" s="1375"/>
      <c r="AF10" s="1375"/>
      <c r="AG10" s="1375"/>
      <c r="AH10" s="1375"/>
      <c r="AI10" s="1375"/>
      <c r="AJ10" s="1375"/>
      <c r="AK10" s="1375"/>
      <c r="AL10" s="1375"/>
      <c r="AM10" s="1375"/>
      <c r="AN10" s="1375"/>
      <c r="AO10" s="1375"/>
      <c r="AP10" s="1375"/>
      <c r="AQ10" s="1375"/>
      <c r="AR10" s="1375"/>
      <c r="AS10" s="1375"/>
      <c r="AT10" s="1375"/>
      <c r="AU10" s="13"/>
      <c r="AV10" s="13"/>
      <c r="AW10" s="13"/>
      <c r="AX10" s="13"/>
      <c r="AY10" s="13"/>
      <c r="BD10" s="3" t="s">
        <v>2512</v>
      </c>
      <c r="BE10" s="1249">
        <f>SUMIF($AC$718:$AC$752,"&lt;=45%",$G$718:G$752)-SUM($BE$5:BE9)</f>
        <v>0</v>
      </c>
    </row>
    <row r="11" spans="1:58" ht="13" customHeight="1">
      <c r="A11" s="1375" t="s">
        <v>2606</v>
      </c>
      <c r="B11" s="1375"/>
      <c r="C11" s="1375"/>
      <c r="D11" s="1375"/>
      <c r="E11" s="1375"/>
      <c r="F11" s="1375"/>
      <c r="G11" s="1375"/>
      <c r="H11" s="1375"/>
      <c r="I11" s="1375"/>
      <c r="J11" s="1375"/>
      <c r="K11" s="1375"/>
      <c r="L11" s="1375"/>
      <c r="M11" s="1375"/>
      <c r="N11" s="1375"/>
      <c r="O11" s="1375"/>
      <c r="P11" s="1375"/>
      <c r="Q11" s="1375"/>
      <c r="R11" s="1375"/>
      <c r="S11" s="1375"/>
      <c r="T11" s="1375"/>
      <c r="U11" s="1375"/>
      <c r="V11" s="1375"/>
      <c r="W11" s="1375"/>
      <c r="X11" s="1375"/>
      <c r="Y11" s="1375"/>
      <c r="Z11" s="1375"/>
      <c r="AA11" s="1375"/>
      <c r="AB11" s="1375"/>
      <c r="AC11" s="1375"/>
      <c r="AD11" s="1375"/>
      <c r="AE11" s="1375"/>
      <c r="AF11" s="1375"/>
      <c r="AG11" s="1375"/>
      <c r="AH11" s="1375"/>
      <c r="AI11" s="1375"/>
      <c r="AJ11" s="1375"/>
      <c r="AK11" s="1375"/>
      <c r="AL11" s="1375"/>
      <c r="AM11" s="1375"/>
      <c r="AN11" s="1375"/>
      <c r="AO11" s="1375"/>
      <c r="AP11" s="1375"/>
      <c r="AQ11" s="1375"/>
      <c r="AR11" s="1375"/>
      <c r="AS11" s="1375"/>
      <c r="AT11" s="1375"/>
      <c r="AU11" s="13"/>
      <c r="AV11" s="13"/>
      <c r="AW11" s="13"/>
      <c r="AX11" s="13"/>
      <c r="AY11" s="13"/>
      <c r="BD11" s="1247" t="s">
        <v>2504</v>
      </c>
      <c r="BE11" s="1249">
        <f>SUMIF($AC$718:$AC$752,"&lt;=50%",$G$718:G$752)-SUM($BE$5:BE10)</f>
        <v>19</v>
      </c>
    </row>
    <row r="12" spans="1:58" ht="13" customHeight="1">
      <c r="A12" s="1414" t="s">
        <v>2611</v>
      </c>
      <c r="B12" s="1414"/>
      <c r="C12" s="1414"/>
      <c r="D12" s="1414"/>
      <c r="E12" s="1414"/>
      <c r="F12" s="1414"/>
      <c r="G12" s="1414"/>
      <c r="H12" s="1414"/>
      <c r="I12" s="1414"/>
      <c r="J12" s="1414"/>
      <c r="K12" s="1414"/>
      <c r="L12" s="1414"/>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6"/>
      <c r="AV12" s="6"/>
      <c r="AW12" s="6"/>
      <c r="AX12" s="6"/>
      <c r="AY12" s="6"/>
      <c r="BD12" s="3" t="s">
        <v>2513</v>
      </c>
      <c r="BE12" s="1249">
        <f>SUMIF($AC$718:$AC$752,"&lt;=55%",$G$718:G$752)-SUM($BE$5:BE11)</f>
        <v>0</v>
      </c>
    </row>
    <row r="13" spans="1:58" ht="13"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25</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 customHeight="1">
      <c r="A16" s="57" t="s">
        <v>2079</v>
      </c>
      <c r="C16" s="4"/>
      <c r="D16" s="4"/>
      <c r="E16" s="4"/>
      <c r="F16" s="4"/>
      <c r="G16" s="4"/>
      <c r="H16" s="1421" t="s">
        <v>2736</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656</v>
      </c>
      <c r="BE16" s="1249" t="str">
        <f>Application!H18</f>
        <v xml:space="preserve">El Camino Real Multifamily </v>
      </c>
    </row>
    <row r="17" spans="1:58" ht="13" customHeight="1">
      <c r="BD17" s="1247" t="s">
        <v>2520</v>
      </c>
      <c r="BE17" s="1249">
        <f>Application!AA934</f>
        <v>0</v>
      </c>
    </row>
    <row r="18" spans="1:58" ht="13" customHeight="1">
      <c r="A18" s="57" t="s">
        <v>101</v>
      </c>
      <c r="C18" s="4"/>
      <c r="D18" s="4"/>
      <c r="E18" s="4"/>
      <c r="F18" s="4"/>
      <c r="G18" s="4"/>
      <c r="H18" s="1373" t="s">
        <v>2612</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2521</v>
      </c>
      <c r="BE18" s="1249">
        <f>'CalHFA Addendum'!N11</f>
        <v>0</v>
      </c>
    </row>
    <row r="19" spans="1:58" ht="13" customHeight="1">
      <c r="BD19" s="1247" t="s">
        <v>2522</v>
      </c>
      <c r="BE19" s="1249">
        <f>Application!M26</f>
        <v>5248603</v>
      </c>
    </row>
    <row r="20" spans="1:58" ht="13" customHeight="1">
      <c r="A20" s="1415" t="s">
        <v>873</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900"/>
      <c r="AV20" s="900"/>
      <c r="AW20" s="900"/>
      <c r="AX20" s="900"/>
      <c r="AY20" s="900"/>
      <c r="BD20" s="1248" t="s">
        <v>2523</v>
      </c>
      <c r="BE20" s="1249">
        <f>Application!M27</f>
        <v>26000000</v>
      </c>
    </row>
    <row r="21" spans="1:58" ht="13"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2524</v>
      </c>
      <c r="BE21" s="1249">
        <f>Application!AM554</f>
        <v>53248129</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112039501</v>
      </c>
      <c r="BF22" s="3" t="s">
        <v>2597</v>
      </c>
    </row>
    <row r="23" spans="1:58" ht="13"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243585</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3" customHeight="1">
      <c r="A26" s="4"/>
      <c r="C26" s="4"/>
      <c r="D26" s="4"/>
      <c r="E26" s="4"/>
      <c r="F26" s="4"/>
      <c r="G26" s="4"/>
      <c r="H26" s="4"/>
      <c r="I26" s="4"/>
      <c r="J26" s="4"/>
      <c r="K26" s="4"/>
      <c r="L26" s="4"/>
      <c r="M26" s="1420">
        <f>'Basis &amp; Credits'!AB56</f>
        <v>5248603</v>
      </c>
      <c r="N26" s="1420"/>
      <c r="O26" s="1420"/>
      <c r="P26" s="1420"/>
      <c r="Q26" s="1420"/>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54">
        <f>'Basis &amp; Credits'!AB78</f>
        <v>26000000</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416" t="s">
        <v>2148</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6"/>
      <c r="AF29" s="1416"/>
      <c r="AG29" s="1416"/>
      <c r="AH29" s="1416"/>
      <c r="AI29" s="1416"/>
      <c r="AJ29" s="1416"/>
      <c r="AK29" s="1416"/>
      <c r="AL29" s="1416"/>
      <c r="AM29" s="1416"/>
      <c r="AN29" s="1416"/>
      <c r="AO29" s="1416"/>
      <c r="AP29" s="1416"/>
      <c r="AQ29" s="1416"/>
      <c r="AR29" s="1416"/>
      <c r="AS29" s="1416"/>
      <c r="AT29" s="1416"/>
      <c r="BD29" s="1247" t="s">
        <v>2529</v>
      </c>
      <c r="BE29" s="1249" t="b">
        <f>Application!M358="Yes"</f>
        <v>0</v>
      </c>
    </row>
    <row r="30" spans="1:58" ht="13" customHeight="1">
      <c r="A30" s="1416"/>
      <c r="B30" s="1416"/>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Z30" s="20"/>
      <c r="BD30" s="1248" t="s">
        <v>28</v>
      </c>
      <c r="BE30" s="1249" t="b">
        <f>Application!AJ355="Yes"</f>
        <v>1</v>
      </c>
    </row>
    <row r="31" spans="1:58" ht="13" customHeight="1">
      <c r="A31" s="1416"/>
      <c r="B31" s="1416"/>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20"/>
      <c r="AV31" s="20"/>
      <c r="AW31" s="20"/>
      <c r="AX31" s="20"/>
      <c r="AY31" s="20"/>
      <c r="AZ31" s="20"/>
      <c r="BD31" s="1247" t="s">
        <v>2530</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32</v>
      </c>
    </row>
    <row r="33" spans="1:57" ht="13" customHeight="1">
      <c r="A33" s="519" t="s">
        <v>1278</v>
      </c>
      <c r="C33" s="519"/>
      <c r="D33" s="519"/>
      <c r="E33" s="519"/>
      <c r="F33" s="519"/>
      <c r="G33" s="519"/>
      <c r="H33" s="519"/>
      <c r="I33" s="519"/>
      <c r="J33" s="519"/>
      <c r="K33" s="519"/>
      <c r="L33" s="519"/>
      <c r="M33" s="519"/>
      <c r="N33" s="519"/>
      <c r="O33" s="1332" t="s">
        <v>545</v>
      </c>
      <c r="P33" s="1332"/>
      <c r="Q33" s="1417" t="s">
        <v>2149</v>
      </c>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20"/>
      <c r="AV33" s="20"/>
      <c r="AW33" s="20"/>
      <c r="AX33" s="20"/>
      <c r="AY33" s="20"/>
      <c r="BD33" s="1247" t="s">
        <v>2598</v>
      </c>
      <c r="BE33" s="1249" t="str">
        <f>Application!D220</f>
        <v>South and West Bay Region: San Mateo and Santa Clara Counties</v>
      </c>
    </row>
    <row r="34" spans="1:57" ht="13" customHeight="1">
      <c r="A34" s="1416" t="s">
        <v>2150</v>
      </c>
      <c r="B34" s="1416"/>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20"/>
      <c r="AV34" s="20"/>
      <c r="AW34" s="20"/>
      <c r="AX34" s="20"/>
      <c r="AY34" s="20"/>
      <c r="AZ34" s="20"/>
      <c r="BD34" s="1248" t="s">
        <v>2532</v>
      </c>
      <c r="BE34" s="1249" t="str">
        <f>Application!I185</f>
        <v>3001 El Camino Real</v>
      </c>
    </row>
    <row r="35" spans="1:57" ht="13" customHeight="1">
      <c r="A35" s="1416"/>
      <c r="B35" s="1416"/>
      <c r="C35" s="1416"/>
      <c r="D35" s="1416"/>
      <c r="E35" s="1416"/>
      <c r="F35" s="1416"/>
      <c r="G35" s="1416"/>
      <c r="H35" s="1416"/>
      <c r="I35" s="1416"/>
      <c r="J35" s="1416"/>
      <c r="K35" s="1416"/>
      <c r="L35" s="1416"/>
      <c r="M35" s="1416"/>
      <c r="N35" s="1416"/>
      <c r="O35" s="1416"/>
      <c r="P35" s="1416"/>
      <c r="Q35" s="1416"/>
      <c r="R35" s="1416"/>
      <c r="S35" s="1416"/>
      <c r="T35" s="1416"/>
      <c r="U35" s="1416"/>
      <c r="V35" s="1416"/>
      <c r="W35" s="1416"/>
      <c r="X35" s="1416"/>
      <c r="Y35" s="1416"/>
      <c r="Z35" s="1416"/>
      <c r="AA35" s="1416"/>
      <c r="AB35" s="1416"/>
      <c r="AC35" s="1416"/>
      <c r="AD35" s="1416"/>
      <c r="AE35" s="1416"/>
      <c r="AF35" s="1416"/>
      <c r="AG35" s="1416"/>
      <c r="AH35" s="1416"/>
      <c r="AI35" s="1416"/>
      <c r="AJ35" s="1416"/>
      <c r="AK35" s="1416"/>
      <c r="AL35" s="1416"/>
      <c r="AM35" s="1416"/>
      <c r="AN35" s="1416"/>
      <c r="AO35" s="1416"/>
      <c r="AP35" s="1416"/>
      <c r="AQ35" s="1416"/>
      <c r="AR35" s="1416"/>
      <c r="AS35" s="1416"/>
      <c r="AT35" s="1416"/>
      <c r="AU35" s="20"/>
      <c r="AV35" s="20"/>
      <c r="AW35" s="20"/>
      <c r="AX35" s="20"/>
      <c r="AY35" s="20"/>
      <c r="AZ35" s="20"/>
      <c r="BD35" s="1247" t="s">
        <v>2533</v>
      </c>
      <c r="BE35" s="1249" t="str">
        <f>IF(Application!E187="","",Application!E187)</f>
        <v/>
      </c>
    </row>
    <row r="36" spans="1:57" ht="13" customHeight="1">
      <c r="A36" s="1416"/>
      <c r="B36" s="1416"/>
      <c r="C36" s="1416"/>
      <c r="D36" s="1416"/>
      <c r="E36" s="1416"/>
      <c r="F36" s="1416"/>
      <c r="G36" s="1416"/>
      <c r="H36" s="1416"/>
      <c r="I36" s="1416"/>
      <c r="J36" s="1416"/>
      <c r="K36" s="1416"/>
      <c r="L36" s="1416"/>
      <c r="M36" s="1416"/>
      <c r="N36" s="1416"/>
      <c r="O36" s="1416"/>
      <c r="P36" s="1416"/>
      <c r="Q36" s="1416"/>
      <c r="R36" s="1416"/>
      <c r="S36" s="1416"/>
      <c r="T36" s="1416"/>
      <c r="U36" s="1416"/>
      <c r="V36" s="1416"/>
      <c r="W36" s="1416"/>
      <c r="X36" s="1416"/>
      <c r="Y36" s="1416"/>
      <c r="Z36" s="1416"/>
      <c r="AA36" s="1416"/>
      <c r="AB36" s="1416"/>
      <c r="AC36" s="1416"/>
      <c r="AD36" s="1416"/>
      <c r="AE36" s="1416"/>
      <c r="AF36" s="1416"/>
      <c r="AG36" s="1416"/>
      <c r="AH36" s="1416"/>
      <c r="AI36" s="1416"/>
      <c r="AJ36" s="1416"/>
      <c r="AK36" s="1416"/>
      <c r="AL36" s="1416"/>
      <c r="AM36" s="1416"/>
      <c r="AN36" s="1416"/>
      <c r="AO36" s="1416"/>
      <c r="AP36" s="1416"/>
      <c r="AQ36" s="1416"/>
      <c r="AR36" s="1416"/>
      <c r="AS36" s="1416"/>
      <c r="AT36" s="1416"/>
      <c r="AU36" s="20"/>
      <c r="AV36" s="20"/>
      <c r="AW36" s="20"/>
      <c r="AX36" s="20"/>
      <c r="AY36" s="20"/>
      <c r="AZ36" s="20"/>
      <c r="BD36" s="1248" t="s">
        <v>2534</v>
      </c>
      <c r="BE36" s="1249" t="str">
        <f>Application!I189</f>
        <v>Palo Alto</v>
      </c>
    </row>
    <row r="37" spans="1:57" ht="13" customHeight="1">
      <c r="A37" s="1416"/>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6"/>
      <c r="AF37" s="1416"/>
      <c r="AG37" s="1416"/>
      <c r="AH37" s="1416"/>
      <c r="AI37" s="1416"/>
      <c r="AJ37" s="1416"/>
      <c r="AK37" s="1416"/>
      <c r="AL37" s="1416"/>
      <c r="AM37" s="1416"/>
      <c r="AN37" s="1416"/>
      <c r="AO37" s="1416"/>
      <c r="AP37" s="1416"/>
      <c r="AQ37" s="1416"/>
      <c r="AR37" s="1416"/>
      <c r="AS37" s="1416"/>
      <c r="AT37" s="1416"/>
      <c r="AZ37" s="20"/>
      <c r="BD37" s="1247" t="s">
        <v>2535</v>
      </c>
      <c r="BE37" s="1249" t="str">
        <f>Application!T189</f>
        <v>Santa Clara</v>
      </c>
    </row>
    <row r="38" spans="1:57" ht="13" customHeight="1">
      <c r="A38" s="3"/>
      <c r="AZ38" s="20"/>
      <c r="BD38" s="1248" t="s">
        <v>2536</v>
      </c>
      <c r="BE38" s="1249">
        <f>Application!I190</f>
        <v>94306</v>
      </c>
    </row>
    <row r="39" spans="1:57" ht="13"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130</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128</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0.40390624999999997</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0.40392759735726541</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861842.31538461533</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1</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0</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El Camino PA, LLC</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Christian Poncetta</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 xml:space="preserve">Charities Housing Development Corporation of Santa Clara County </v>
      </c>
    </row>
    <row r="51" spans="1:57" ht="13"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f>Application!M251</f>
        <v>0</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f>Application!M254</f>
        <v>0</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3"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Charities Housing Development Corporation</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1400 Parkmoor Avenue Suite 190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Jose, CA 95126</v>
      </c>
    </row>
    <row r="60" spans="1:57" ht="13"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Christian Poncetta</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cponcetta@charitieshousing.org</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0.87696300000000005</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0.83991550000000004</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 customHeight="1">
      <c r="A65" s="1418" t="s">
        <v>2157</v>
      </c>
      <c r="B65" s="1418"/>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418"/>
      <c r="AJ65" s="1418"/>
      <c r="AK65" s="1418"/>
      <c r="AL65" s="1418"/>
      <c r="AM65" s="1418"/>
      <c r="AN65" s="1418"/>
      <c r="AO65" s="1418"/>
      <c r="AP65" s="1418"/>
      <c r="AQ65" s="1418"/>
      <c r="AR65" s="1418"/>
      <c r="AS65" s="1418"/>
      <c r="AT65" s="1418"/>
      <c r="AU65" s="21"/>
      <c r="AV65" s="21"/>
      <c r="AW65" s="21"/>
      <c r="AX65" s="21"/>
      <c r="AY65" s="21"/>
      <c r="AZ65" s="20"/>
      <c r="BD65" s="1247" t="s">
        <v>2595</v>
      </c>
      <c r="BE65" s="1249" t="str">
        <f>Z205</f>
        <v>$500M</v>
      </c>
    </row>
    <row r="66" spans="1:57" ht="13" customHeight="1">
      <c r="A66" s="1418"/>
      <c r="B66" s="1418"/>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418"/>
      <c r="AJ66" s="1418"/>
      <c r="AK66" s="1418"/>
      <c r="AL66" s="1418"/>
      <c r="AM66" s="1418"/>
      <c r="AN66" s="1418"/>
      <c r="AO66" s="1418"/>
      <c r="AP66" s="1418"/>
      <c r="AQ66" s="1418"/>
      <c r="AR66" s="1418"/>
      <c r="AS66" s="1418"/>
      <c r="AT66" s="1418"/>
      <c r="AU66" s="21"/>
      <c r="AV66" s="21"/>
      <c r="AW66" s="21"/>
      <c r="AX66" s="21"/>
      <c r="AY66" s="21"/>
      <c r="AZ66" s="20"/>
      <c r="BD66" s="1248" t="s">
        <v>2560</v>
      </c>
      <c r="BE66" s="1249" t="b">
        <f>Application!Z205="State Farmworker Credit"</f>
        <v>0</v>
      </c>
    </row>
    <row r="67" spans="1:57" ht="13" customHeight="1">
      <c r="A67" s="1418"/>
      <c r="B67" s="1418"/>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418"/>
      <c r="AJ67" s="1418"/>
      <c r="AK67" s="1418"/>
      <c r="AL67" s="1418"/>
      <c r="AM67" s="1418"/>
      <c r="AN67" s="1418"/>
      <c r="AO67" s="1418"/>
      <c r="AP67" s="1418"/>
      <c r="AQ67" s="1418"/>
      <c r="AR67" s="1418"/>
      <c r="AS67" s="1418"/>
      <c r="AT67" s="1418"/>
      <c r="AZ67" s="20"/>
      <c r="BD67" s="1247" t="s">
        <v>2561</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418" t="s">
        <v>2158</v>
      </c>
      <c r="B69" s="1418"/>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418"/>
      <c r="AJ69" s="1418"/>
      <c r="AK69" s="1418"/>
      <c r="AL69" s="1418"/>
      <c r="AM69" s="1418"/>
      <c r="AN69" s="1418"/>
      <c r="AO69" s="1418"/>
      <c r="AP69" s="1418"/>
      <c r="AQ69" s="1418"/>
      <c r="AR69" s="1418"/>
      <c r="AS69" s="1418"/>
      <c r="AT69" s="1418"/>
      <c r="AZ69" s="20"/>
      <c r="BD69" s="1247" t="s">
        <v>2563</v>
      </c>
      <c r="BE69" s="1249" t="str">
        <f>Application!W700</f>
        <v>CMFA</v>
      </c>
    </row>
    <row r="70" spans="1:57" ht="13" customHeight="1">
      <c r="A70" s="1418"/>
      <c r="B70" s="1418"/>
      <c r="C70" s="1418"/>
      <c r="D70" s="1418"/>
      <c r="E70" s="1418"/>
      <c r="F70" s="1418"/>
      <c r="G70" s="1418"/>
      <c r="H70" s="1418"/>
      <c r="I70" s="1418"/>
      <c r="J70" s="1418"/>
      <c r="K70" s="1418"/>
      <c r="L70" s="1418"/>
      <c r="M70" s="1418"/>
      <c r="N70" s="1418"/>
      <c r="O70" s="1418"/>
      <c r="P70" s="1418"/>
      <c r="Q70" s="1418"/>
      <c r="R70" s="1418"/>
      <c r="S70" s="1418"/>
      <c r="T70" s="1418"/>
      <c r="U70" s="1418"/>
      <c r="V70" s="1418"/>
      <c r="W70" s="1418"/>
      <c r="X70" s="1418"/>
      <c r="Y70" s="1418"/>
      <c r="Z70" s="1418"/>
      <c r="AA70" s="1418"/>
      <c r="AB70" s="1418"/>
      <c r="AC70" s="1418"/>
      <c r="AD70" s="1418"/>
      <c r="AE70" s="1418"/>
      <c r="AF70" s="1418"/>
      <c r="AG70" s="1418"/>
      <c r="AH70" s="1418"/>
      <c r="AI70" s="1418"/>
      <c r="AJ70" s="1418"/>
      <c r="AK70" s="1418"/>
      <c r="AL70" s="1418"/>
      <c r="AM70" s="1418"/>
      <c r="AN70" s="1418"/>
      <c r="AO70" s="1418"/>
      <c r="AP70" s="1418"/>
      <c r="AQ70" s="1418"/>
      <c r="AR70" s="1418"/>
      <c r="AS70" s="1418"/>
      <c r="AT70" s="1418"/>
      <c r="AU70" s="20"/>
      <c r="AV70" s="20"/>
      <c r="AW70" s="20"/>
      <c r="AX70" s="20"/>
      <c r="AY70" s="20"/>
      <c r="AZ70" s="20"/>
      <c r="BD70" s="1248" t="s">
        <v>2564</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416" t="s">
        <v>2159</v>
      </c>
      <c r="B72" s="1416"/>
      <c r="C72" s="1416"/>
      <c r="D72" s="1416"/>
      <c r="E72" s="1416"/>
      <c r="F72" s="1416"/>
      <c r="G72" s="1416"/>
      <c r="H72" s="1416"/>
      <c r="I72" s="1416"/>
      <c r="J72" s="1416"/>
      <c r="K72" s="1416"/>
      <c r="L72" s="1416"/>
      <c r="M72" s="1416"/>
      <c r="N72" s="1416"/>
      <c r="O72" s="1416"/>
      <c r="P72" s="1416"/>
      <c r="Q72" s="1416"/>
      <c r="R72" s="1416"/>
      <c r="S72" s="1416"/>
      <c r="T72" s="1416"/>
      <c r="U72" s="1416"/>
      <c r="V72" s="1416"/>
      <c r="W72" s="1416"/>
      <c r="X72" s="1416"/>
      <c r="Y72" s="1416"/>
      <c r="Z72" s="1416"/>
      <c r="AA72" s="1416"/>
      <c r="AB72" s="1416"/>
      <c r="AC72" s="1416"/>
      <c r="AD72" s="1416"/>
      <c r="AE72" s="1416"/>
      <c r="AF72" s="1416"/>
      <c r="AG72" s="1416"/>
      <c r="AH72" s="1416"/>
      <c r="AI72" s="1416"/>
      <c r="AJ72" s="1416"/>
      <c r="AK72" s="1416"/>
      <c r="AL72" s="1416"/>
      <c r="AM72" s="1416"/>
      <c r="AN72" s="1416"/>
      <c r="AO72" s="1416"/>
      <c r="AP72" s="1416"/>
      <c r="AQ72" s="1416"/>
      <c r="AR72" s="1416"/>
      <c r="AS72" s="1416"/>
      <c r="AT72" s="1416"/>
      <c r="AU72" s="20"/>
      <c r="AV72" s="20"/>
      <c r="AW72" s="20"/>
      <c r="AX72" s="20"/>
      <c r="AY72" s="20"/>
      <c r="AZ72" s="20"/>
      <c r="BD72" s="1248" t="s">
        <v>2566</v>
      </c>
      <c r="BE72" s="1249">
        <f>'Points System'!AF805</f>
        <v>10</v>
      </c>
    </row>
    <row r="73" spans="1:57" ht="13" customHeight="1">
      <c r="A73" s="1416"/>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6"/>
      <c r="AF73" s="1416"/>
      <c r="AG73" s="1416"/>
      <c r="AH73" s="1416"/>
      <c r="AI73" s="1416"/>
      <c r="AJ73" s="1416"/>
      <c r="AK73" s="1416"/>
      <c r="AL73" s="1416"/>
      <c r="AM73" s="1416"/>
      <c r="AN73" s="1416"/>
      <c r="AO73" s="1416"/>
      <c r="AP73" s="1416"/>
      <c r="AQ73" s="1416"/>
      <c r="AR73" s="1416"/>
      <c r="AS73" s="1416"/>
      <c r="AT73" s="1416"/>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2569</v>
      </c>
      <c r="BE75" s="1249">
        <f>'Points System'!AF808</f>
        <v>10</v>
      </c>
    </row>
    <row r="76" spans="1:57" ht="13"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2570</v>
      </c>
      <c r="BE76" s="1249">
        <f>'Points System'!AF811</f>
        <v>10</v>
      </c>
    </row>
    <row r="77" spans="1:57" ht="13"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418" t="s">
        <v>2161</v>
      </c>
      <c r="B79" s="1418"/>
      <c r="C79" s="1418"/>
      <c r="D79" s="1418"/>
      <c r="E79" s="1418"/>
      <c r="F79" s="1418"/>
      <c r="G79" s="1418"/>
      <c r="H79" s="1418"/>
      <c r="I79" s="1418"/>
      <c r="J79" s="1418"/>
      <c r="K79" s="1418"/>
      <c r="L79" s="1418"/>
      <c r="M79" s="1418"/>
      <c r="N79" s="1418"/>
      <c r="O79" s="1418"/>
      <c r="P79" s="1418"/>
      <c r="Q79" s="1418"/>
      <c r="R79" s="1418"/>
      <c r="S79" s="1418"/>
      <c r="T79" s="1418"/>
      <c r="U79" s="1418"/>
      <c r="V79" s="1418"/>
      <c r="W79" s="1418"/>
      <c r="X79" s="1418"/>
      <c r="Y79" s="1418"/>
      <c r="Z79" s="1418"/>
      <c r="AA79" s="1418"/>
      <c r="AB79" s="1418"/>
      <c r="AC79" s="1418"/>
      <c r="AD79" s="1418"/>
      <c r="AE79" s="1418"/>
      <c r="AF79" s="1418"/>
      <c r="AG79" s="1418"/>
      <c r="AH79" s="1418"/>
      <c r="AI79" s="1418"/>
      <c r="AJ79" s="1418"/>
      <c r="AK79" s="1418"/>
      <c r="AL79" s="1418"/>
      <c r="AM79" s="1418"/>
      <c r="AN79" s="1418"/>
      <c r="AO79" s="1418"/>
      <c r="AP79" s="1418"/>
      <c r="AQ79" s="1418"/>
      <c r="AR79" s="1418"/>
      <c r="AS79" s="1418"/>
      <c r="AT79" s="1418"/>
      <c r="AU79" s="20"/>
      <c r="AV79" s="20"/>
      <c r="AW79" s="20"/>
      <c r="AX79" s="20"/>
      <c r="AY79" s="20"/>
      <c r="AZ79" s="20"/>
      <c r="BD79" s="1247" t="s">
        <v>2573</v>
      </c>
      <c r="BE79" s="1249">
        <f>'Points System'!AF815</f>
        <v>10</v>
      </c>
    </row>
    <row r="80" spans="1:57" ht="13" customHeight="1">
      <c r="A80" s="1418"/>
      <c r="B80" s="1418"/>
      <c r="C80" s="1418"/>
      <c r="D80" s="1418"/>
      <c r="E80" s="1418"/>
      <c r="F80" s="1418"/>
      <c r="G80" s="1418"/>
      <c r="H80" s="1418"/>
      <c r="I80" s="1418"/>
      <c r="J80" s="1418"/>
      <c r="K80" s="1418"/>
      <c r="L80" s="1418"/>
      <c r="M80" s="1418"/>
      <c r="N80" s="1418"/>
      <c r="O80" s="1418"/>
      <c r="P80" s="1418"/>
      <c r="Q80" s="1418"/>
      <c r="R80" s="1418"/>
      <c r="S80" s="1418"/>
      <c r="T80" s="1418"/>
      <c r="U80" s="1418"/>
      <c r="V80" s="1418"/>
      <c r="W80" s="1418"/>
      <c r="X80" s="1418"/>
      <c r="Y80" s="1418"/>
      <c r="Z80" s="1418"/>
      <c r="AA80" s="1418"/>
      <c r="AB80" s="1418"/>
      <c r="AC80" s="1418"/>
      <c r="AD80" s="1418"/>
      <c r="AE80" s="1418"/>
      <c r="AF80" s="1418"/>
      <c r="AG80" s="1418"/>
      <c r="AH80" s="1418"/>
      <c r="AI80" s="1418"/>
      <c r="AJ80" s="1418"/>
      <c r="AK80" s="1418"/>
      <c r="AL80" s="1418"/>
      <c r="AM80" s="1418"/>
      <c r="AN80" s="1418"/>
      <c r="AO80" s="1418"/>
      <c r="AP80" s="1418"/>
      <c r="AQ80" s="1418"/>
      <c r="AR80" s="1418"/>
      <c r="AS80" s="1418"/>
      <c r="AT80" s="1418"/>
      <c r="AU80" s="20"/>
      <c r="AV80" s="20"/>
      <c r="AW80" s="20"/>
      <c r="AX80" s="20"/>
      <c r="AY80" s="20"/>
      <c r="AZ80" s="20"/>
      <c r="BD80" s="1248" t="s">
        <v>2574</v>
      </c>
      <c r="BE80" s="1249">
        <f>'Points System'!AF817</f>
        <v>10</v>
      </c>
    </row>
    <row r="81" spans="1:57" ht="13" customHeight="1">
      <c r="A81" s="1418"/>
      <c r="B81" s="1418"/>
      <c r="C81" s="1418"/>
      <c r="D81" s="1418"/>
      <c r="E81" s="1418"/>
      <c r="F81" s="1418"/>
      <c r="G81" s="1418"/>
      <c r="H81" s="1418"/>
      <c r="I81" s="1418"/>
      <c r="J81" s="1418"/>
      <c r="K81" s="1418"/>
      <c r="L81" s="1418"/>
      <c r="M81" s="1418"/>
      <c r="N81" s="1418"/>
      <c r="O81" s="1418"/>
      <c r="P81" s="1418"/>
      <c r="Q81" s="1418"/>
      <c r="R81" s="1418"/>
      <c r="S81" s="1418"/>
      <c r="T81" s="1418"/>
      <c r="U81" s="1418"/>
      <c r="V81" s="1418"/>
      <c r="W81" s="1418"/>
      <c r="X81" s="1418"/>
      <c r="Y81" s="1418"/>
      <c r="Z81" s="1418"/>
      <c r="AA81" s="1418"/>
      <c r="AB81" s="1418"/>
      <c r="AC81" s="1418"/>
      <c r="AD81" s="1418"/>
      <c r="AE81" s="1418"/>
      <c r="AF81" s="1418"/>
      <c r="AG81" s="1418"/>
      <c r="AH81" s="1418"/>
      <c r="AI81" s="1418"/>
      <c r="AJ81" s="1418"/>
      <c r="AK81" s="1418"/>
      <c r="AL81" s="1418"/>
      <c r="AM81" s="1418"/>
      <c r="AN81" s="1418"/>
      <c r="AO81" s="1418"/>
      <c r="AP81" s="1418"/>
      <c r="AQ81" s="1418"/>
      <c r="AR81" s="1418"/>
      <c r="AS81" s="1418"/>
      <c r="AT81" s="1418"/>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1.1187511149397869</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Palo Alto</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Ed Shikada</v>
      </c>
    </row>
    <row r="86" spans="1:57" ht="13"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250 Hamilton Ave, 7th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Palo Alto</v>
      </c>
    </row>
    <row r="89" spans="1:57" ht="13"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2583</v>
      </c>
      <c r="BE89" s="1249">
        <f>Application!O158</f>
        <v>94301</v>
      </c>
    </row>
    <row r="90" spans="1:57" ht="13"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2584</v>
      </c>
      <c r="BE90" s="1249" t="str">
        <f>Application!H16</f>
        <v xml:space="preserve">Charities Housing Development Corportation of Santa Clara County </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1400 Parkmoor Ave. Ste. 190</v>
      </c>
    </row>
    <row r="92" spans="1:57" ht="13"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2586</v>
      </c>
      <c r="BE92" s="1249" t="str">
        <f>Application!M234</f>
        <v>San Jose</v>
      </c>
    </row>
    <row r="93" spans="1:57" ht="13"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2587</v>
      </c>
      <c r="BE93" s="1249" t="str">
        <f>Application!W234</f>
        <v>CA</v>
      </c>
    </row>
    <row r="94" spans="1:57" ht="13"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2588</v>
      </c>
      <c r="BE94" s="1249">
        <f>Application!AC234</f>
        <v>95126</v>
      </c>
    </row>
    <row r="95" spans="1:57" ht="13"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2589</v>
      </c>
      <c r="BE95" s="1249" t="str">
        <f>Application!M235</f>
        <v>Christian Poncetta</v>
      </c>
    </row>
    <row r="96" spans="1:57" ht="13"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2590</v>
      </c>
      <c r="BE96" s="1249" t="str">
        <f>Application!M237</f>
        <v>cponcetta@charitieshousing.org</v>
      </c>
    </row>
    <row r="97" spans="1:57" ht="13"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2591</v>
      </c>
      <c r="BE97" s="1249" t="str">
        <f>Application!M248</f>
        <v>cponcetta@charitieshousing.org</v>
      </c>
    </row>
    <row r="98" spans="1:57" ht="13"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2592</v>
      </c>
      <c r="BE98" s="1249">
        <f>Application!M256</f>
        <v>0</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2594</v>
      </c>
      <c r="BE100" s="1249" t="str">
        <f>Application!L279</f>
        <v>cponcetta@charitieshousing.org</v>
      </c>
    </row>
    <row r="101" spans="1:57" ht="13"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2599</v>
      </c>
      <c r="BE101">
        <f>'Sources and Uses Budget'!C105</f>
        <v>112039501</v>
      </c>
    </row>
    <row r="102" spans="1:57" ht="13"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2600</v>
      </c>
      <c r="BE102" t="b">
        <f>T197="Yes"</f>
        <v>0</v>
      </c>
    </row>
    <row r="103" spans="1:57" ht="13"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3"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1"/>
      <c r="H113" s="1791"/>
      <c r="I113" s="3" t="s">
        <v>181</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2"/>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1" t="s">
        <v>2614</v>
      </c>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8" t="s">
        <v>469</v>
      </c>
      <c r="CV122" s="1659"/>
      <c r="CW122" s="14"/>
      <c r="CX122" s="14" t="s">
        <v>634</v>
      </c>
      <c r="CY122" s="14"/>
      <c r="CZ122" s="14"/>
      <c r="DA122" s="14"/>
      <c r="DB122" s="14"/>
      <c r="DC122" s="14"/>
      <c r="DD122" s="14"/>
      <c r="DE122" s="14"/>
      <c r="DF122" s="14"/>
      <c r="DG122" s="1655" t="str">
        <f>T189</f>
        <v>Santa Clara</v>
      </c>
      <c r="DH122" s="1656"/>
      <c r="DI122" s="1656"/>
      <c r="DJ122" s="1656"/>
      <c r="DK122" s="1656"/>
      <c r="DL122" s="1656"/>
      <c r="DM122" s="1657"/>
    </row>
    <row r="123" spans="1:117" ht="13" customHeight="1">
      <c r="A123" s="3"/>
      <c r="B123" s="3"/>
      <c r="T123" s="3"/>
      <c r="U123" s="3"/>
      <c r="V123" s="3"/>
      <c r="W123" s="3"/>
      <c r="X123" s="3"/>
      <c r="Y123" s="1791" t="s">
        <v>2615</v>
      </c>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373" t="s">
        <v>2613</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38" t="s">
        <v>2616</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11" t="s">
        <v>440</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4" t="s">
        <v>2617</v>
      </c>
      <c r="P156" s="1374"/>
      <c r="Q156" s="1374"/>
      <c r="R156" s="1374"/>
      <c r="S156" s="1374"/>
      <c r="T156" s="1374"/>
      <c r="U156" s="1374"/>
      <c r="V156" s="1374"/>
      <c r="W156" s="1374"/>
      <c r="X156" s="1374"/>
      <c r="Y156" s="1374"/>
      <c r="Z156" s="1374"/>
      <c r="AA156" s="1374"/>
      <c r="AB156" s="1374"/>
      <c r="AC156" s="1374"/>
      <c r="AD156" s="1374"/>
      <c r="AE156" s="1374"/>
      <c r="AF156" s="1374"/>
      <c r="AG156" s="1374"/>
      <c r="AH156" s="1374"/>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9" t="s">
        <v>2619</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4">
        <v>94301</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71" t="s">
        <v>2646</v>
      </c>
      <c r="P159" s="1782"/>
      <c r="Q159" s="1782"/>
      <c r="R159" s="1782"/>
      <c r="S159" s="1782"/>
      <c r="T159" s="1782"/>
      <c r="V159" s="97" t="s">
        <v>270</v>
      </c>
      <c r="W159" s="1795"/>
      <c r="X159" s="1795"/>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782"/>
      <c r="P160" s="1782"/>
      <c r="Q160" s="1782"/>
      <c r="R160" s="1782"/>
      <c r="S160" s="1782"/>
      <c r="T160" s="178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786" t="s">
        <v>2647</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810" t="s">
        <v>370</v>
      </c>
      <c r="K173" s="1810"/>
      <c r="L173" s="1810"/>
      <c r="M173" s="1810"/>
      <c r="N173" s="1810"/>
      <c r="O173" s="1810"/>
      <c r="P173" s="1810"/>
      <c r="Q173" s="1810"/>
      <c r="R173" s="1810"/>
      <c r="S173" s="181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374" t="s">
        <v>2102</v>
      </c>
      <c r="K174" s="1374"/>
      <c r="L174" s="1374"/>
      <c r="M174" s="1374"/>
      <c r="N174" s="1374"/>
      <c r="O174" s="1374"/>
      <c r="P174" s="1374"/>
      <c r="Q174" s="1374"/>
      <c r="R174" s="1374"/>
      <c r="S174" s="1374"/>
      <c r="T174" s="1374"/>
      <c r="U174" s="1374"/>
      <c r="V174" s="1374"/>
      <c r="W174" s="1374"/>
      <c r="X174" s="1374"/>
      <c r="Y174" s="1374"/>
      <c r="Z174" s="1374"/>
      <c r="AA174" s="1374"/>
      <c r="AB174" s="1374"/>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669</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427"/>
      <c r="V176" s="1427"/>
      <c r="W176" s="1" t="s">
        <v>305</v>
      </c>
      <c r="X176" s="1785"/>
      <c r="Y176" s="1785"/>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784"/>
      <c r="AG178" s="1784"/>
      <c r="AH178" s="1" t="s">
        <v>305</v>
      </c>
      <c r="AI178" s="1807"/>
      <c r="AJ178" s="1807"/>
      <c r="AK178" s="180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332" t="s">
        <v>669</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59" t="str">
        <f>H18</f>
        <v xml:space="preserve">El Camino Real Multifamily </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49" t="s">
        <v>2618</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373" t="s">
        <v>2619</v>
      </c>
      <c r="J189" s="1374"/>
      <c r="K189" s="1374"/>
      <c r="L189" s="1374"/>
      <c r="M189" s="1374"/>
      <c r="N189" s="1374"/>
      <c r="O189" s="1374"/>
      <c r="P189" s="1374"/>
      <c r="Q189" t="s">
        <v>582</v>
      </c>
      <c r="T189" s="1374" t="s">
        <v>191</v>
      </c>
      <c r="U189" s="1374"/>
      <c r="V189" s="1374"/>
      <c r="W189" s="1374"/>
      <c r="X189" s="1374"/>
      <c r="Y189" s="1374"/>
      <c r="Z189" s="1374"/>
      <c r="AA189" s="1374"/>
      <c r="AB189" s="1374"/>
      <c r="AC189" s="1374"/>
      <c r="AD189" s="1374"/>
      <c r="AE189" s="1374"/>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49">
        <v>94306</v>
      </c>
      <c r="J190" s="1349"/>
      <c r="K190" s="1349"/>
      <c r="L190" s="1349"/>
      <c r="M190" s="1349"/>
      <c r="N190" s="1349"/>
      <c r="O190" t="s">
        <v>585</v>
      </c>
      <c r="T190" s="1792">
        <v>5107</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5" t="s">
        <v>2620</v>
      </c>
      <c r="O191" s="1806"/>
      <c r="P191" s="1806"/>
      <c r="Q191" s="1806"/>
      <c r="R191" s="1806"/>
      <c r="S191" s="1806"/>
      <c r="T191" s="1806"/>
      <c r="U191" s="1806"/>
      <c r="V191" s="1806"/>
      <c r="W191" s="1806"/>
      <c r="X191" s="1806"/>
      <c r="Y191" s="1806"/>
      <c r="Z191" s="1806"/>
      <c r="AA191" s="1806"/>
      <c r="AB191" s="1806"/>
      <c r="AC191" s="1806"/>
      <c r="AD191" s="1806"/>
      <c r="AE191" s="1806"/>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796" t="s">
        <v>1970</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332" t="s">
        <v>545</v>
      </c>
      <c r="U195" s="1332"/>
      <c r="W195" t="s">
        <v>684</v>
      </c>
      <c r="AH195" s="1332">
        <v>16</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05" t="s">
        <v>669</v>
      </c>
      <c r="U196" s="1405"/>
      <c r="W196" t="s">
        <v>685</v>
      </c>
      <c r="AH196" s="1332">
        <v>23</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05" t="s">
        <v>669</v>
      </c>
      <c r="U197" s="1405"/>
      <c r="W197" t="s">
        <v>686</v>
      </c>
      <c r="AH197" s="1332">
        <v>13</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05">
        <v>0</v>
      </c>
      <c r="U198" s="1405"/>
      <c r="V198"/>
      <c r="X198" s="1416" t="s">
        <v>2515</v>
      </c>
      <c r="Y198" s="1416"/>
      <c r="Z198" s="1416"/>
      <c r="AA198" s="1416"/>
      <c r="AB198" s="1416"/>
      <c r="AC198" s="1416"/>
      <c r="AD198" s="1416"/>
      <c r="AE198" s="1416"/>
      <c r="AF198" s="1416"/>
      <c r="AG198" s="1416"/>
      <c r="AH198" s="1416"/>
      <c r="AI198" s="1416"/>
      <c r="AJ198" s="1416"/>
      <c r="AK198" s="1416"/>
      <c r="AL198" s="1416"/>
      <c r="AM198" s="1416"/>
      <c r="AN198" s="1416"/>
      <c r="AO198" s="1416"/>
      <c r="AP198" s="1416"/>
      <c r="AQ198" s="1416"/>
      <c r="AR198" s="1416"/>
      <c r="AS198" s="1416"/>
      <c r="AT198" s="141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332" t="s">
        <v>669</v>
      </c>
      <c r="U199" s="1332"/>
      <c r="V199"/>
      <c r="W199"/>
      <c r="X199" s="1416"/>
      <c r="Y199" s="1416"/>
      <c r="Z199" s="1416"/>
      <c r="AA199" s="1416"/>
      <c r="AB199" s="1416"/>
      <c r="AC199" s="1416"/>
      <c r="AD199" s="1416"/>
      <c r="AE199" s="1416"/>
      <c r="AF199" s="1416"/>
      <c r="AG199" s="1416"/>
      <c r="AH199" s="1416"/>
      <c r="AI199" s="1416"/>
      <c r="AJ199" s="1416"/>
      <c r="AK199" s="1416"/>
      <c r="AL199" s="1416"/>
      <c r="AM199" s="1416"/>
      <c r="AN199" s="1416"/>
      <c r="AO199" s="1416"/>
      <c r="AP199" s="1416"/>
      <c r="AQ199" s="1416"/>
      <c r="AR199" s="1416"/>
      <c r="AS199" s="1416"/>
      <c r="AT199" s="141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359" t="s">
        <v>384</v>
      </c>
      <c r="E204" s="1359"/>
      <c r="F204" s="1359"/>
      <c r="G204" s="1359"/>
      <c r="H204" s="1359"/>
      <c r="I204" s="1359"/>
      <c r="J204" s="1359"/>
      <c r="K204" s="1359"/>
      <c r="L204" s="1359"/>
      <c r="M204" s="1359"/>
      <c r="P204" s="1804">
        <f>M26</f>
        <v>5248603</v>
      </c>
      <c r="Q204" s="1783"/>
      <c r="R204" s="1783"/>
      <c r="S204" s="1783"/>
      <c r="T204" s="1783"/>
      <c r="U204" s="1783"/>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814" t="s">
        <v>1247</v>
      </c>
      <c r="E205" s="1359"/>
      <c r="F205" s="1359"/>
      <c r="G205" s="1359"/>
      <c r="H205" s="1359"/>
      <c r="I205" s="1359"/>
      <c r="J205" s="1359"/>
      <c r="K205" s="1359"/>
      <c r="L205" s="1359"/>
      <c r="M205" s="1359"/>
      <c r="P205" s="1783">
        <f>M27</f>
        <v>26000000</v>
      </c>
      <c r="Q205" s="1783"/>
      <c r="R205" s="1783"/>
      <c r="S205" s="1783"/>
      <c r="T205" s="1783"/>
      <c r="U205" s="1783"/>
      <c r="V205" s="28"/>
      <c r="W205" s="3" t="s">
        <v>1720</v>
      </c>
      <c r="Z205" s="1812" t="s">
        <v>2220</v>
      </c>
      <c r="AA205" s="1812"/>
      <c r="AB205" s="1812"/>
      <c r="AC205" s="1812"/>
      <c r="AD205" s="1812"/>
      <c r="AE205" s="1812"/>
      <c r="AF205" s="1812"/>
      <c r="AG205" s="1812"/>
      <c r="AH205" s="1812"/>
      <c r="AI205" s="1812"/>
      <c r="AJ205" s="1812"/>
      <c r="AK205" s="1812"/>
      <c r="AL205" s="1812"/>
      <c r="AM205" s="1812"/>
      <c r="AN205" s="1812"/>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419" t="s">
        <v>2621</v>
      </c>
      <c r="E208" s="1419"/>
      <c r="F208" s="1419"/>
      <c r="G208" s="1419"/>
      <c r="H208" s="1419"/>
      <c r="I208" s="1419"/>
      <c r="J208" s="1419"/>
      <c r="K208" s="1419"/>
      <c r="L208" s="1419"/>
      <c r="M208" s="1419"/>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9" t="s">
        <v>1041</v>
      </c>
      <c r="E211" s="1419"/>
      <c r="F211" s="1419"/>
      <c r="G211" s="1419"/>
      <c r="H211" s="1419"/>
      <c r="I211" s="1419"/>
      <c r="J211" s="1419"/>
      <c r="K211" s="1419"/>
      <c r="L211" s="1419"/>
      <c r="M211" s="1419"/>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332">
        <v>32</v>
      </c>
      <c r="R212" s="1332"/>
      <c r="T212" s="1798">
        <f>IFERROR(Q212/AG440,0)</f>
        <v>0.25</v>
      </c>
      <c r="U212" s="179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419" t="s">
        <v>1026</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3" t="s">
        <v>2467</v>
      </c>
      <c r="AD220" s="1813"/>
      <c r="AE220" s="1813"/>
      <c r="AF220" s="1813"/>
      <c r="AG220" s="1813"/>
      <c r="AH220" s="1813"/>
      <c r="AI220" s="1813"/>
      <c r="AJ220" s="1813"/>
      <c r="AK220" s="1813"/>
      <c r="AL220" s="1813"/>
      <c r="AM220" s="1813"/>
      <c r="AN220" s="1813"/>
      <c r="AO220" s="1813"/>
      <c r="AP220" s="1813"/>
      <c r="AQ220" s="1813"/>
      <c r="BA220" s="3"/>
      <c r="BC220" t="s">
        <v>299</v>
      </c>
    </row>
    <row r="221" spans="1:108" ht="13" customHeight="1">
      <c r="A221" s="2"/>
      <c r="B221" s="14"/>
      <c r="C221" s="2"/>
      <c r="BA221" s="3"/>
    </row>
    <row r="222" spans="1:108" ht="13"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3"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3" t="str">
        <f>H16</f>
        <v xml:space="preserve">Charities Housing Development Corportation of Santa Clara County </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3" customHeight="1">
      <c r="D233" s="4" t="s">
        <v>85</v>
      </c>
      <c r="E233" s="4"/>
      <c r="F233" s="4"/>
      <c r="G233" s="4"/>
      <c r="H233" s="4"/>
      <c r="I233" s="4"/>
      <c r="J233" s="4"/>
      <c r="K233" s="4"/>
      <c r="M233" s="1373" t="s">
        <v>2622</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3" customHeight="1">
      <c r="D234" s="4" t="s">
        <v>580</v>
      </c>
      <c r="E234" s="4"/>
      <c r="M234" s="1373" t="s">
        <v>2623</v>
      </c>
      <c r="N234" s="1419"/>
      <c r="O234" s="1419"/>
      <c r="P234" s="1419"/>
      <c r="Q234" s="1419"/>
      <c r="R234" s="1419"/>
      <c r="S234" s="1419"/>
      <c r="T234" s="1419"/>
      <c r="V234" s="33" t="s">
        <v>86</v>
      </c>
      <c r="W234" s="1547" t="s">
        <v>2624</v>
      </c>
      <c r="X234" s="1438"/>
      <c r="Y234" s="4" t="s">
        <v>583</v>
      </c>
      <c r="AC234" s="1419">
        <v>95126</v>
      </c>
      <c r="AD234" s="1419"/>
      <c r="AE234" s="1419"/>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373" t="s">
        <v>2625</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3" customHeight="1">
      <c r="D236" s="4" t="s">
        <v>88</v>
      </c>
      <c r="E236" s="4"/>
      <c r="F236" s="4"/>
      <c r="M236" s="1346" t="s">
        <v>2626</v>
      </c>
      <c r="N236" s="1347"/>
      <c r="O236" s="1347"/>
      <c r="P236" s="1347"/>
      <c r="Q236" s="1347"/>
      <c r="R236" s="1347"/>
      <c r="S236" s="4" t="s">
        <v>205</v>
      </c>
      <c r="T236" s="4"/>
      <c r="U236" s="1438"/>
      <c r="V236" s="1438"/>
      <c r="W236" s="1438"/>
      <c r="X236" s="4" t="s">
        <v>89</v>
      </c>
      <c r="Z236" s="1347"/>
      <c r="AA236" s="1347"/>
      <c r="AB236" s="1347"/>
      <c r="AC236" s="1347"/>
      <c r="AD236" s="1347"/>
      <c r="AE236" s="1347"/>
      <c r="AU236" s="4"/>
      <c r="AV236" s="4"/>
      <c r="AW236" s="4"/>
      <c r="AX236" s="4"/>
      <c r="AY236" s="4"/>
      <c r="AZ236" s="4"/>
      <c r="BB236" s="204" t="s">
        <v>537</v>
      </c>
      <c r="BG236" s="241">
        <f>IF(AND(AND($M$249="nonprofit",$M$257="nonprofit",$M$265="(select one)")),1,0)</f>
        <v>0</v>
      </c>
    </row>
    <row r="237" spans="1:59" ht="13" customHeight="1">
      <c r="D237" s="4" t="s">
        <v>90</v>
      </c>
      <c r="E237" s="4"/>
      <c r="F237" s="4"/>
      <c r="M237" s="1786" t="s">
        <v>2627</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49" t="s">
        <v>376</v>
      </c>
      <c r="N238" s="1349"/>
      <c r="O238" s="1349"/>
      <c r="P238" s="1349"/>
      <c r="Q238" s="1349"/>
      <c r="R238" s="1349"/>
      <c r="S238" s="1349"/>
      <c r="T238" s="1349"/>
      <c r="U238" s="204" t="s">
        <v>906</v>
      </c>
      <c r="V238" s="204"/>
      <c r="W238" s="204"/>
      <c r="X238" s="204"/>
      <c r="Y238" s="204"/>
      <c r="Z238" s="204"/>
      <c r="AA238" s="1787" t="str">
        <f>L274</f>
        <v xml:space="preserve">Charities Housing Development Corporation of Santa Clara County </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3" customHeight="1">
      <c r="D239" t="s">
        <v>531</v>
      </c>
      <c r="M239" s="1374"/>
      <c r="N239" s="1374"/>
      <c r="O239" s="1374"/>
      <c r="P239" s="1374"/>
      <c r="Q239" s="1374"/>
      <c r="R239" s="1374"/>
      <c r="S239" s="1374"/>
      <c r="T239" s="1374"/>
      <c r="U239" s="1374"/>
      <c r="V239" s="1374"/>
      <c r="W239" s="1374"/>
      <c r="X239" s="1374"/>
      <c r="Y239" s="1374"/>
      <c r="Z239" s="1374"/>
      <c r="AA239" s="1374"/>
      <c r="AB239" s="1374"/>
      <c r="AC239" s="1374"/>
      <c r="AD239" s="1374"/>
      <c r="AE239" s="1374"/>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1" t="s">
        <v>2629</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2630</v>
      </c>
      <c r="AG243" s="1422"/>
      <c r="AH243" s="1422"/>
      <c r="AI243" s="1422"/>
      <c r="AJ243" s="1422"/>
      <c r="AK243" s="1422"/>
      <c r="AU243" s="4"/>
      <c r="AV243" s="4"/>
      <c r="AW243" s="4"/>
      <c r="AX243" s="4"/>
      <c r="AY243" s="4"/>
      <c r="BG243">
        <f>SUM(BG226:BG241)</f>
        <v>1</v>
      </c>
    </row>
    <row r="244" spans="1:67" ht="13" customHeight="1">
      <c r="A244" s="19"/>
      <c r="B244" s="4"/>
      <c r="C244" s="4"/>
      <c r="D244" s="4" t="s">
        <v>85</v>
      </c>
      <c r="E244" s="4"/>
      <c r="F244" s="4"/>
      <c r="G244" s="4"/>
      <c r="H244" s="4"/>
      <c r="I244" s="4"/>
      <c r="J244" s="4"/>
      <c r="K244" s="4"/>
      <c r="L244" s="4"/>
      <c r="M244" s="1373" t="s">
        <v>2622</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373" t="s">
        <v>2631</v>
      </c>
      <c r="N245" s="1419"/>
      <c r="O245" s="1419"/>
      <c r="P245" s="1419"/>
      <c r="Q245" s="1419"/>
      <c r="R245" s="1419"/>
      <c r="S245" s="1419"/>
      <c r="T245" s="1419"/>
      <c r="V245" s="33" t="s">
        <v>86</v>
      </c>
      <c r="W245" s="1547" t="s">
        <v>2624</v>
      </c>
      <c r="X245" s="1438"/>
      <c r="Y245" s="4" t="s">
        <v>583</v>
      </c>
      <c r="AC245" s="1419">
        <v>95126</v>
      </c>
      <c r="AD245" s="1419"/>
      <c r="AE245" s="1419"/>
      <c r="AF245" s="3" t="s">
        <v>1180</v>
      </c>
      <c r="AU245" s="4"/>
      <c r="AV245" s="4"/>
      <c r="AW245" s="4"/>
      <c r="AX245" s="4"/>
      <c r="AY245" s="4"/>
      <c r="BB245" s="4" t="s">
        <v>279</v>
      </c>
      <c r="BG245">
        <v>2</v>
      </c>
      <c r="BH245" t="s">
        <v>566</v>
      </c>
      <c r="BO245" s="239" t="str">
        <f>VLOOKUP(BG243,BG244:BH247,2,FALSE)</f>
        <v>Nonprofit</v>
      </c>
    </row>
    <row r="246" spans="1:67" ht="13" customHeight="1">
      <c r="A246" s="19"/>
      <c r="B246" s="4"/>
      <c r="C246" s="4"/>
      <c r="D246" s="4" t="s">
        <v>87</v>
      </c>
      <c r="E246" s="4"/>
      <c r="F246" s="4"/>
      <c r="G246" s="4"/>
      <c r="H246" s="4"/>
      <c r="I246" s="4"/>
      <c r="J246" s="4"/>
      <c r="K246" s="4"/>
      <c r="L246" s="19"/>
      <c r="M246" s="1373" t="s">
        <v>2625</v>
      </c>
      <c r="N246" s="1419"/>
      <c r="O246" s="1419"/>
      <c r="P246" s="1419"/>
      <c r="Q246" s="1419"/>
      <c r="R246" s="1419"/>
      <c r="S246" s="1419"/>
      <c r="T246" s="1419"/>
      <c r="U246" s="1419"/>
      <c r="V246" s="1419"/>
      <c r="W246" s="1419"/>
      <c r="X246" s="1419"/>
      <c r="Y246" s="1419"/>
      <c r="Z246" s="1419"/>
      <c r="AA246" s="1419"/>
      <c r="AB246" s="1419"/>
      <c r="AC246" s="1419"/>
      <c r="AD246" s="1419"/>
      <c r="AE246" s="1419"/>
      <c r="AH246" s="1780">
        <v>0.01</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6" t="s">
        <v>2626</v>
      </c>
      <c r="N247" s="1347"/>
      <c r="O247" s="1347"/>
      <c r="P247" s="1347"/>
      <c r="Q247" s="1347"/>
      <c r="R247" s="1347"/>
      <c r="S247" s="4" t="s">
        <v>205</v>
      </c>
      <c r="T247" s="4"/>
      <c r="U247" s="1438"/>
      <c r="V247" s="1438"/>
      <c r="W247" s="1438"/>
      <c r="X247" s="4" t="s">
        <v>89</v>
      </c>
      <c r="Z247" s="1347"/>
      <c r="AA247" s="1347"/>
      <c r="AB247" s="1347"/>
      <c r="AC247" s="1347"/>
      <c r="AD247" s="1347"/>
      <c r="AE247" s="1347"/>
      <c r="AU247" s="4"/>
      <c r="AV247" s="4"/>
      <c r="AW247" s="4"/>
      <c r="AX247" s="4"/>
      <c r="AY247" s="4"/>
      <c r="BG247">
        <v>0</v>
      </c>
      <c r="BH247" s="3" t="str">
        <f>""</f>
        <v/>
      </c>
      <c r="BN247" s="34"/>
    </row>
    <row r="248" spans="1:67" ht="13" customHeight="1">
      <c r="A248" s="19"/>
      <c r="B248" s="4"/>
      <c r="C248" s="4"/>
      <c r="D248" s="4" t="s">
        <v>90</v>
      </c>
      <c r="E248" s="4"/>
      <c r="F248" s="4"/>
      <c r="M248" s="1786" t="s">
        <v>2627</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906</v>
      </c>
      <c r="V249" s="204"/>
      <c r="W249" s="204"/>
      <c r="X249" s="204"/>
      <c r="Y249" s="204"/>
      <c r="Z249" s="204"/>
      <c r="AA249" s="1778" t="str">
        <f>L274</f>
        <v xml:space="preserve">Charities Housing Development Corporation of Santa Clara County </v>
      </c>
      <c r="AB249" s="1778"/>
      <c r="AC249" s="1778"/>
      <c r="AD249" s="1778"/>
      <c r="AE249" s="1778"/>
      <c r="AF249" s="1778"/>
      <c r="AG249" s="1778"/>
      <c r="AH249" s="1778"/>
      <c r="AI249" s="1778"/>
      <c r="AJ249" s="1778"/>
      <c r="AK249" s="1778"/>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422"/>
      <c r="N251" s="1422"/>
      <c r="O251" s="1422"/>
      <c r="P251" s="1422"/>
      <c r="Q251" s="1422"/>
      <c r="R251" s="1422"/>
      <c r="S251" s="1422"/>
      <c r="T251" s="1422"/>
      <c r="U251" s="1422"/>
      <c r="V251" s="1422"/>
      <c r="W251" s="1422"/>
      <c r="X251" s="1422"/>
      <c r="Y251" s="1422"/>
      <c r="Z251" s="1422"/>
      <c r="AA251" s="1422"/>
      <c r="AB251" s="1422"/>
      <c r="AC251" s="1422"/>
      <c r="AD251" s="1422"/>
      <c r="AE251" s="1422"/>
      <c r="AF251" s="1422" t="s">
        <v>306</v>
      </c>
      <c r="AG251" s="1422"/>
      <c r="AH251" s="1422"/>
      <c r="AI251" s="1422"/>
      <c r="AJ251" s="1422"/>
      <c r="AK251" s="1422"/>
      <c r="AU251" s="4"/>
      <c r="AV251" s="4"/>
      <c r="AW251" s="4"/>
      <c r="AX251" s="4"/>
      <c r="AY251" s="4"/>
      <c r="BN251" s="34"/>
    </row>
    <row r="252" spans="1:67" ht="13" customHeight="1">
      <c r="A252" s="19"/>
      <c r="B252" s="4"/>
      <c r="C252" s="4"/>
      <c r="D252" s="4" t="s">
        <v>85</v>
      </c>
      <c r="E252" s="4"/>
      <c r="F252" s="4"/>
      <c r="G252" s="4"/>
      <c r="H252" s="4"/>
      <c r="I252" s="4"/>
      <c r="J252" s="4"/>
      <c r="K252" s="4"/>
      <c r="L252" s="4"/>
      <c r="M252" s="1419"/>
      <c r="N252" s="1419"/>
      <c r="O252" s="1419"/>
      <c r="P252" s="1419"/>
      <c r="Q252" s="1419"/>
      <c r="R252" s="1419"/>
      <c r="S252" s="1419"/>
      <c r="T252" s="1419"/>
      <c r="U252" s="1419"/>
      <c r="V252" s="1419"/>
      <c r="W252" s="1419"/>
      <c r="X252" s="1419"/>
      <c r="Y252" s="1419"/>
      <c r="Z252" s="1419"/>
      <c r="AA252" s="1419"/>
      <c r="AB252" s="1419"/>
      <c r="AC252" s="1419"/>
      <c r="AD252" s="1419"/>
      <c r="AE252" s="1419"/>
      <c r="AF252" s="3" t="s">
        <v>1179</v>
      </c>
      <c r="AL252" s="4"/>
      <c r="AM252" s="4"/>
      <c r="AN252" s="4"/>
      <c r="AO252" s="4"/>
      <c r="AP252" s="4"/>
      <c r="AQ252" s="4"/>
      <c r="AR252" s="4"/>
      <c r="AS252" s="4"/>
      <c r="AT252" s="4"/>
      <c r="BN252" s="34"/>
    </row>
    <row r="253" spans="1:67" ht="13" customHeight="1">
      <c r="A253" s="19"/>
      <c r="B253" s="4"/>
      <c r="C253" s="4"/>
      <c r="D253" s="4" t="s">
        <v>580</v>
      </c>
      <c r="E253" s="4"/>
      <c r="M253" s="1419"/>
      <c r="N253" s="1419"/>
      <c r="O253" s="1419"/>
      <c r="P253" s="1419"/>
      <c r="Q253" s="1419"/>
      <c r="R253" s="1419"/>
      <c r="S253" s="1419"/>
      <c r="T253" s="1419"/>
      <c r="V253" s="33" t="s">
        <v>86</v>
      </c>
      <c r="W253" s="1438"/>
      <c r="X253" s="1438"/>
      <c r="Y253" s="4" t="s">
        <v>583</v>
      </c>
      <c r="AC253" s="1419"/>
      <c r="AD253" s="1419"/>
      <c r="AE253" s="1419"/>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419"/>
      <c r="N254" s="1419"/>
      <c r="O254" s="1419"/>
      <c r="P254" s="1419"/>
      <c r="Q254" s="1419"/>
      <c r="R254" s="1419"/>
      <c r="S254" s="1419"/>
      <c r="T254" s="1419"/>
      <c r="U254" s="1419"/>
      <c r="V254" s="1419"/>
      <c r="W254" s="1419"/>
      <c r="X254" s="1419"/>
      <c r="Y254" s="1419"/>
      <c r="Z254" s="1419"/>
      <c r="AA254" s="1419"/>
      <c r="AB254" s="1419"/>
      <c r="AC254" s="1419"/>
      <c r="AD254" s="1419"/>
      <c r="AE254" s="1419"/>
      <c r="AH254" s="1780"/>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347"/>
      <c r="N255" s="1347"/>
      <c r="O255" s="1347"/>
      <c r="P255" s="1347"/>
      <c r="Q255" s="1347"/>
      <c r="R255" s="1347"/>
      <c r="S255" s="4" t="s">
        <v>205</v>
      </c>
      <c r="T255" s="4"/>
      <c r="U255" s="1438"/>
      <c r="V255" s="1438"/>
      <c r="W255" s="1438"/>
      <c r="X255" s="4" t="s">
        <v>89</v>
      </c>
      <c r="Z255" s="1347"/>
      <c r="AA255" s="1347"/>
      <c r="AB255" s="1347"/>
      <c r="AC255" s="1347"/>
      <c r="AD255" s="1347"/>
      <c r="AE255" s="1347"/>
      <c r="AU255" s="4"/>
      <c r="AV255" s="4"/>
      <c r="AW255" s="4"/>
      <c r="AX255" s="4"/>
      <c r="AY255" s="4"/>
      <c r="BN255" s="34"/>
    </row>
    <row r="256" spans="1:67" ht="13" customHeight="1">
      <c r="A256" s="19"/>
      <c r="B256" s="4"/>
      <c r="C256" s="4"/>
      <c r="D256" s="4" t="s">
        <v>90</v>
      </c>
      <c r="E256" s="4"/>
      <c r="F256" s="4"/>
      <c r="M256" s="1786"/>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49" t="s">
        <v>306</v>
      </c>
      <c r="N257" s="1349"/>
      <c r="O257" s="1349"/>
      <c r="P257" s="1349"/>
      <c r="Q257" s="1349"/>
      <c r="R257" s="1349"/>
      <c r="S257" s="1349"/>
      <c r="T257" s="1349"/>
      <c r="U257" s="204" t="s">
        <v>906</v>
      </c>
      <c r="V257" s="204"/>
      <c r="W257" s="204"/>
      <c r="X257" s="204"/>
      <c r="Y257" s="204"/>
      <c r="Z257" s="204"/>
      <c r="AA257" s="1778"/>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306</v>
      </c>
      <c r="AG259" s="1422"/>
      <c r="AH259" s="1422"/>
      <c r="AI259" s="1422"/>
      <c r="AJ259" s="1422"/>
      <c r="AK259" s="142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9"/>
      <c r="N261" s="1419"/>
      <c r="O261" s="1419"/>
      <c r="P261" s="1419"/>
      <c r="Q261" s="1419"/>
      <c r="R261" s="1419"/>
      <c r="S261" s="1419"/>
      <c r="T261" s="1419"/>
      <c r="V261" s="33" t="s">
        <v>86</v>
      </c>
      <c r="W261" s="1438"/>
      <c r="X261" s="1438"/>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7"/>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49" t="s">
        <v>306</v>
      </c>
      <c r="N265" s="1349"/>
      <c r="O265" s="1349"/>
      <c r="P265" s="1349"/>
      <c r="Q265" s="1349"/>
      <c r="R265" s="1349"/>
      <c r="S265" s="1349"/>
      <c r="T265" s="1349"/>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Nonprofit</v>
      </c>
      <c r="U267" s="1781"/>
      <c r="V267" s="1781"/>
      <c r="W267" s="1781"/>
      <c r="X267" s="1781"/>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419" t="s">
        <v>279</v>
      </c>
      <c r="E270" s="1419"/>
      <c r="F270" s="1419"/>
      <c r="G270" s="1419"/>
      <c r="H270" s="1419"/>
      <c r="J270" t="s">
        <v>278</v>
      </c>
      <c r="X270" s="1692"/>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2" t="s">
        <v>2632</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9" t="str">
        <f>M244</f>
        <v>1400 Parkmoor Ave. Ste. 190</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3" customHeight="1">
      <c r="D276" s="4" t="s">
        <v>580</v>
      </c>
      <c r="E276" s="4"/>
      <c r="L276" s="1419" t="str">
        <f>M245</f>
        <v xml:space="preserve">San Jose </v>
      </c>
      <c r="M276" s="1419"/>
      <c r="N276" s="1419"/>
      <c r="O276" s="1419"/>
      <c r="P276" s="1419"/>
      <c r="Q276" s="1419"/>
      <c r="R276" s="1419"/>
      <c r="S276" s="1419"/>
      <c r="U276" s="33" t="s">
        <v>86</v>
      </c>
      <c r="V276" s="1438"/>
      <c r="W276" s="1438"/>
      <c r="X276" s="4" t="s">
        <v>583</v>
      </c>
      <c r="AB276" s="1419"/>
      <c r="AC276" s="1419"/>
      <c r="AD276" s="1419"/>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9" t="str">
        <f>M246</f>
        <v>Christian Poncetta</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3" customHeight="1">
      <c r="D278" s="4" t="s">
        <v>88</v>
      </c>
      <c r="E278" s="4"/>
      <c r="F278" s="4"/>
      <c r="L278" s="1347" t="str">
        <f>M247</f>
        <v>408-930-2015</v>
      </c>
      <c r="M278" s="1347"/>
      <c r="N278" s="1347"/>
      <c r="O278" s="1347"/>
      <c r="P278" s="1347"/>
      <c r="Q278" s="1347"/>
      <c r="R278" s="4" t="s">
        <v>205</v>
      </c>
      <c r="S278" s="4"/>
      <c r="T278" s="1438"/>
      <c r="U278" s="1438"/>
      <c r="V278" s="1438"/>
      <c r="W278" s="4" t="s">
        <v>89</v>
      </c>
      <c r="Y278" s="1347"/>
      <c r="Z278" s="1347"/>
      <c r="AA278" s="1347"/>
      <c r="AB278" s="1347"/>
      <c r="AC278" s="1347"/>
      <c r="AD278" s="1347"/>
    </row>
    <row r="279" spans="1:51" ht="13" customHeight="1">
      <c r="D279" s="4" t="s">
        <v>90</v>
      </c>
      <c r="E279" s="4"/>
      <c r="F279" s="4"/>
      <c r="L279" s="1786" t="str">
        <f>M248</f>
        <v>cponcetta@charitieshousing.org</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3" customHeight="1">
      <c r="D280" s="3" t="s">
        <v>623</v>
      </c>
      <c r="E280" s="3"/>
      <c r="F280" s="3"/>
      <c r="G280" s="3"/>
      <c r="H280" s="3"/>
      <c r="I280" s="3"/>
      <c r="L280" s="1547" t="s">
        <v>2633</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3"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4" t="s">
        <v>2628</v>
      </c>
      <c r="I287" s="1374"/>
      <c r="J287" s="1374"/>
      <c r="K287" s="1374"/>
      <c r="L287" s="1374"/>
      <c r="M287" s="1374"/>
      <c r="N287" s="1374"/>
      <c r="O287" s="1374"/>
      <c r="P287" s="1374"/>
      <c r="Q287" s="1374"/>
      <c r="R287" s="1374"/>
      <c r="T287" s="3" t="s">
        <v>567</v>
      </c>
      <c r="V287" s="3"/>
      <c r="W287" s="3"/>
      <c r="X287" s="3"/>
      <c r="Y287" s="3"/>
      <c r="AA287" s="1374" t="s">
        <v>2636</v>
      </c>
      <c r="AB287" s="1374"/>
      <c r="AC287" s="1374"/>
      <c r="AD287" s="1374"/>
      <c r="AE287" s="1374"/>
      <c r="AF287" s="1374"/>
      <c r="AG287" s="1374"/>
      <c r="AH287" s="1374"/>
      <c r="AI287" s="1374"/>
      <c r="AJ287" s="1374"/>
      <c r="AK287" s="1374"/>
    </row>
    <row r="288" spans="1:51" ht="13" customHeight="1">
      <c r="B288" s="3" t="s">
        <v>471</v>
      </c>
      <c r="C288" s="3"/>
      <c r="D288" s="3"/>
      <c r="E288" s="3"/>
      <c r="F288" s="3"/>
      <c r="H288" s="1349" t="s">
        <v>2634</v>
      </c>
      <c r="I288" s="1349"/>
      <c r="J288" s="1349"/>
      <c r="K288" s="1349"/>
      <c r="L288" s="1349"/>
      <c r="M288" s="1349"/>
      <c r="N288" s="1349"/>
      <c r="O288" s="1349"/>
      <c r="P288" s="1349"/>
      <c r="Q288" s="1349"/>
      <c r="R288" s="1349"/>
      <c r="T288" s="3" t="s">
        <v>471</v>
      </c>
      <c r="V288" s="3"/>
      <c r="W288" s="3"/>
      <c r="X288" s="3"/>
      <c r="Y288" s="3"/>
      <c r="AA288" s="1349" t="s">
        <v>2637</v>
      </c>
      <c r="AB288" s="1349"/>
      <c r="AC288" s="1349"/>
      <c r="AD288" s="1349"/>
      <c r="AE288" s="1349"/>
      <c r="AF288" s="1349"/>
      <c r="AG288" s="1349"/>
      <c r="AH288" s="1349"/>
      <c r="AI288" s="1349"/>
      <c r="AJ288" s="1349"/>
      <c r="AK288" s="1349"/>
    </row>
    <row r="289" spans="2:37" ht="13" customHeight="1">
      <c r="B289" s="3" t="s">
        <v>472</v>
      </c>
      <c r="C289" s="3"/>
      <c r="D289" s="3"/>
      <c r="E289" s="3"/>
      <c r="F289" s="3"/>
      <c r="H289" s="1349" t="s">
        <v>2635</v>
      </c>
      <c r="I289" s="1349"/>
      <c r="J289" s="1349"/>
      <c r="K289" s="1349"/>
      <c r="L289" s="1349"/>
      <c r="M289" s="1349"/>
      <c r="N289" s="1349"/>
      <c r="O289" s="1349"/>
      <c r="P289" s="1349"/>
      <c r="Q289" s="1349"/>
      <c r="R289" s="1349"/>
      <c r="T289" s="3" t="s">
        <v>75</v>
      </c>
      <c r="V289" s="3"/>
      <c r="W289" s="3"/>
      <c r="X289" s="3"/>
      <c r="Y289" s="3"/>
      <c r="AA289" s="1349" t="s">
        <v>2638</v>
      </c>
      <c r="AB289" s="1349"/>
      <c r="AC289" s="1349"/>
      <c r="AD289" s="1349"/>
      <c r="AE289" s="1349"/>
      <c r="AF289" s="1349"/>
      <c r="AG289" s="1349"/>
      <c r="AH289" s="1349"/>
      <c r="AI289" s="1349"/>
      <c r="AJ289" s="1349"/>
      <c r="AK289" s="1349"/>
    </row>
    <row r="290" spans="2:37" ht="13" customHeight="1">
      <c r="B290" s="3" t="s">
        <v>87</v>
      </c>
      <c r="C290" s="3"/>
      <c r="D290" s="3"/>
      <c r="E290" s="3"/>
      <c r="F290" s="3"/>
      <c r="H290" s="1349" t="s">
        <v>2625</v>
      </c>
      <c r="I290" s="1349"/>
      <c r="J290" s="1349"/>
      <c r="K290" s="1349"/>
      <c r="L290" s="1349"/>
      <c r="M290" s="1349"/>
      <c r="N290" s="1349"/>
      <c r="O290" s="1349"/>
      <c r="P290" s="1349"/>
      <c r="Q290" s="1349"/>
      <c r="R290" s="1349"/>
      <c r="T290" s="3" t="s">
        <v>87</v>
      </c>
      <c r="V290" s="3"/>
      <c r="W290" s="3"/>
      <c r="X290" s="3"/>
      <c r="Y290" s="3"/>
      <c r="AA290" s="1349" t="s">
        <v>2639</v>
      </c>
      <c r="AB290" s="1349"/>
      <c r="AC290" s="1349"/>
      <c r="AD290" s="1349"/>
      <c r="AE290" s="1349"/>
      <c r="AF290" s="1349"/>
      <c r="AG290" s="1349"/>
      <c r="AH290" s="1349"/>
      <c r="AI290" s="1349"/>
      <c r="AJ290" s="1349"/>
      <c r="AK290" s="1349"/>
    </row>
    <row r="291" spans="2:37" ht="13" customHeight="1">
      <c r="B291" s="3" t="s">
        <v>88</v>
      </c>
      <c r="C291" s="3"/>
      <c r="D291" s="3"/>
      <c r="E291" s="3"/>
      <c r="F291" s="3"/>
      <c r="G291" s="3"/>
      <c r="H291" s="1425">
        <v>4089302015</v>
      </c>
      <c r="I291" s="1425"/>
      <c r="J291" s="1425"/>
      <c r="K291" s="1425"/>
      <c r="L291" s="1425"/>
      <c r="M291" s="1425"/>
      <c r="N291" s="4" t="s">
        <v>205</v>
      </c>
      <c r="O291" s="4"/>
      <c r="P291" s="1419"/>
      <c r="Q291" s="1419"/>
      <c r="R291" s="1419"/>
      <c r="S291" s="3"/>
      <c r="T291" s="3" t="s">
        <v>88</v>
      </c>
      <c r="V291" s="3"/>
      <c r="W291" s="3"/>
      <c r="X291" s="3"/>
      <c r="Y291" s="3"/>
      <c r="AA291" s="1425">
        <v>4153490162</v>
      </c>
      <c r="AB291" s="1425"/>
      <c r="AC291" s="1425"/>
      <c r="AD291" s="1425"/>
      <c r="AE291" s="1425"/>
      <c r="AF291" s="1425"/>
      <c r="AG291" s="4" t="s">
        <v>205</v>
      </c>
      <c r="AH291" s="4"/>
      <c r="AI291" s="1419"/>
      <c r="AJ291" s="1419"/>
      <c r="AK291" s="1419"/>
    </row>
    <row r="292" spans="2:37" ht="13"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3" customHeight="1">
      <c r="B293" s="3" t="s">
        <v>76</v>
      </c>
      <c r="C293" s="3"/>
      <c r="D293" s="3"/>
      <c r="E293" s="3"/>
      <c r="F293" s="3"/>
      <c r="G293" s="3"/>
      <c r="H293" s="1349" t="s">
        <v>2627</v>
      </c>
      <c r="I293" s="1349"/>
      <c r="J293" s="1349"/>
      <c r="K293" s="1349"/>
      <c r="L293" s="1349"/>
      <c r="M293" s="1349"/>
      <c r="N293" s="1374"/>
      <c r="O293" s="1374"/>
      <c r="P293" s="1374"/>
      <c r="Q293" s="1374"/>
      <c r="R293" s="1374"/>
      <c r="S293" s="3"/>
      <c r="T293" s="3" t="s">
        <v>76</v>
      </c>
      <c r="V293" s="3"/>
      <c r="W293" s="3"/>
      <c r="X293" s="3"/>
      <c r="Y293" s="3"/>
      <c r="AA293" s="1349" t="s">
        <v>2680</v>
      </c>
      <c r="AB293" s="1349"/>
      <c r="AC293" s="1349"/>
      <c r="AD293" s="1349"/>
      <c r="AE293" s="1349"/>
      <c r="AF293" s="1349"/>
      <c r="AG293" s="1374"/>
      <c r="AH293" s="1374"/>
      <c r="AI293" s="1374"/>
      <c r="AJ293" s="1374"/>
      <c r="AK293" s="1374"/>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4" t="s">
        <v>2648</v>
      </c>
      <c r="I295" s="1374"/>
      <c r="J295" s="1374"/>
      <c r="K295" s="1374"/>
      <c r="L295" s="1374"/>
      <c r="M295" s="1374"/>
      <c r="N295" s="1374"/>
      <c r="O295" s="1374"/>
      <c r="P295" s="1374"/>
      <c r="Q295" s="1374"/>
      <c r="R295" s="1374"/>
      <c r="T295" s="3" t="s">
        <v>363</v>
      </c>
      <c r="V295" s="3"/>
      <c r="W295" s="3"/>
      <c r="X295" s="3"/>
      <c r="Y295" s="3"/>
      <c r="AA295" s="1374" t="s">
        <v>2652</v>
      </c>
      <c r="AB295" s="1374"/>
      <c r="AC295" s="1374"/>
      <c r="AD295" s="1374"/>
      <c r="AE295" s="1374"/>
      <c r="AF295" s="1374"/>
      <c r="AG295" s="1374"/>
      <c r="AH295" s="1374"/>
      <c r="AI295" s="1374"/>
      <c r="AJ295" s="1374"/>
      <c r="AK295" s="1374"/>
    </row>
    <row r="296" spans="2:37" ht="13" customHeight="1">
      <c r="B296" s="3" t="s">
        <v>471</v>
      </c>
      <c r="C296" s="3"/>
      <c r="D296" s="3"/>
      <c r="E296" s="3"/>
      <c r="F296" s="3"/>
      <c r="H296" s="1349" t="s">
        <v>2649</v>
      </c>
      <c r="I296" s="1349"/>
      <c r="J296" s="1349"/>
      <c r="K296" s="1349"/>
      <c r="L296" s="1349"/>
      <c r="M296" s="1349"/>
      <c r="N296" s="1349"/>
      <c r="O296" s="1349"/>
      <c r="P296" s="1349"/>
      <c r="Q296" s="1349"/>
      <c r="R296" s="1349"/>
      <c r="T296" s="3" t="s">
        <v>471</v>
      </c>
      <c r="V296" s="3"/>
      <c r="W296" s="3"/>
      <c r="X296" s="3"/>
      <c r="Y296" s="3"/>
      <c r="AA296" s="1349" t="s">
        <v>2653</v>
      </c>
      <c r="AB296" s="1349"/>
      <c r="AC296" s="1349"/>
      <c r="AD296" s="1349"/>
      <c r="AE296" s="1349"/>
      <c r="AF296" s="1349"/>
      <c r="AG296" s="1349"/>
      <c r="AH296" s="1349"/>
      <c r="AI296" s="1349"/>
      <c r="AJ296" s="1349"/>
      <c r="AK296" s="1349"/>
    </row>
    <row r="297" spans="2:37" ht="13" customHeight="1">
      <c r="B297" s="3" t="s">
        <v>472</v>
      </c>
      <c r="C297" s="3"/>
      <c r="D297" s="3"/>
      <c r="E297" s="3"/>
      <c r="F297" s="3"/>
      <c r="H297" s="1349" t="s">
        <v>2650</v>
      </c>
      <c r="I297" s="1349"/>
      <c r="J297" s="1349"/>
      <c r="K297" s="1349"/>
      <c r="L297" s="1349"/>
      <c r="M297" s="1349"/>
      <c r="N297" s="1349"/>
      <c r="O297" s="1349"/>
      <c r="P297" s="1349"/>
      <c r="Q297" s="1349"/>
      <c r="R297" s="1349"/>
      <c r="T297" s="3" t="s">
        <v>75</v>
      </c>
      <c r="V297" s="3"/>
      <c r="W297" s="3"/>
      <c r="X297" s="3"/>
      <c r="Y297" s="3"/>
      <c r="AA297" s="1349" t="s">
        <v>2654</v>
      </c>
      <c r="AB297" s="1349"/>
      <c r="AC297" s="1349"/>
      <c r="AD297" s="1349"/>
      <c r="AE297" s="1349"/>
      <c r="AF297" s="1349"/>
      <c r="AG297" s="1349"/>
      <c r="AH297" s="1349"/>
      <c r="AI297" s="1349"/>
      <c r="AJ297" s="1349"/>
      <c r="AK297" s="1349"/>
    </row>
    <row r="298" spans="2:37" ht="13" customHeight="1">
      <c r="B298" s="3" t="s">
        <v>87</v>
      </c>
      <c r="C298" s="3"/>
      <c r="D298" s="3"/>
      <c r="E298" s="3"/>
      <c r="F298" s="3"/>
      <c r="H298" s="1349" t="s">
        <v>2651</v>
      </c>
      <c r="I298" s="1349"/>
      <c r="J298" s="1349"/>
      <c r="K298" s="1349"/>
      <c r="L298" s="1349"/>
      <c r="M298" s="1349"/>
      <c r="N298" s="1349"/>
      <c r="O298" s="1349"/>
      <c r="P298" s="1349"/>
      <c r="Q298" s="1349"/>
      <c r="R298" s="1349"/>
      <c r="T298" s="3" t="s">
        <v>87</v>
      </c>
      <c r="V298" s="3"/>
      <c r="W298" s="3"/>
      <c r="X298" s="3"/>
      <c r="Y298" s="3"/>
      <c r="AA298" s="1349" t="s">
        <v>2655</v>
      </c>
      <c r="AB298" s="1349"/>
      <c r="AC298" s="1349"/>
      <c r="AD298" s="1349"/>
      <c r="AE298" s="1349"/>
      <c r="AF298" s="1349"/>
      <c r="AG298" s="1349"/>
      <c r="AH298" s="1349"/>
      <c r="AI298" s="1349"/>
      <c r="AJ298" s="1349"/>
      <c r="AK298" s="1349"/>
    </row>
    <row r="299" spans="2:37" ht="13" customHeight="1">
      <c r="B299" s="3" t="s">
        <v>88</v>
      </c>
      <c r="C299" s="3"/>
      <c r="D299" s="3"/>
      <c r="E299" s="3"/>
      <c r="F299" s="3"/>
      <c r="G299" s="3"/>
      <c r="H299" s="1425" t="s">
        <v>2688</v>
      </c>
      <c r="I299" s="1425"/>
      <c r="J299" s="1425"/>
      <c r="K299" s="1425"/>
      <c r="L299" s="1425"/>
      <c r="M299" s="1425"/>
      <c r="N299" s="4" t="s">
        <v>205</v>
      </c>
      <c r="O299" s="4"/>
      <c r="P299" s="1419"/>
      <c r="Q299" s="1419"/>
      <c r="R299" s="1419"/>
      <c r="S299" s="3"/>
      <c r="T299" s="3" t="s">
        <v>88</v>
      </c>
      <c r="V299" s="3"/>
      <c r="W299" s="3"/>
      <c r="X299" s="3"/>
      <c r="Y299" s="3"/>
      <c r="AA299" s="1425" t="s">
        <v>2681</v>
      </c>
      <c r="AB299" s="1425"/>
      <c r="AC299" s="1425"/>
      <c r="AD299" s="1425"/>
      <c r="AE299" s="1425"/>
      <c r="AF299" s="1425"/>
      <c r="AG299" s="4" t="s">
        <v>205</v>
      </c>
      <c r="AH299" s="4"/>
      <c r="AI299" s="1419"/>
      <c r="AJ299" s="1419"/>
      <c r="AK299" s="1419"/>
    </row>
    <row r="300" spans="2:37" ht="13"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3" customHeight="1">
      <c r="B301" s="3" t="s">
        <v>76</v>
      </c>
      <c r="C301" s="3"/>
      <c r="D301" s="3"/>
      <c r="E301" s="3"/>
      <c r="F301" s="3"/>
      <c r="G301" s="3"/>
      <c r="H301" s="1349" t="s">
        <v>2679</v>
      </c>
      <c r="I301" s="1349"/>
      <c r="J301" s="1349"/>
      <c r="K301" s="1349"/>
      <c r="L301" s="1349"/>
      <c r="M301" s="1349"/>
      <c r="N301" s="1374"/>
      <c r="O301" s="1374"/>
      <c r="P301" s="1374"/>
      <c r="Q301" s="1374"/>
      <c r="R301" s="1374"/>
      <c r="S301" s="3"/>
      <c r="T301" s="3" t="s">
        <v>76</v>
      </c>
      <c r="V301" s="3"/>
      <c r="W301" s="3"/>
      <c r="X301" s="3"/>
      <c r="Y301" s="3"/>
      <c r="AA301" s="1349" t="s">
        <v>2678</v>
      </c>
      <c r="AB301" s="1349"/>
      <c r="AC301" s="1349"/>
      <c r="AD301" s="1349"/>
      <c r="AE301" s="1349"/>
      <c r="AF301" s="1349"/>
      <c r="AG301" s="1374"/>
      <c r="AH301" s="1374"/>
      <c r="AI301" s="1374"/>
      <c r="AJ301" s="1374"/>
      <c r="AK301" s="1374"/>
    </row>
    <row r="302" spans="2:37" ht="13" customHeight="1"/>
    <row r="303" spans="2:37" ht="13" customHeight="1">
      <c r="B303" s="3" t="s">
        <v>77</v>
      </c>
      <c r="C303" s="3"/>
      <c r="D303" s="3"/>
      <c r="E303" s="3"/>
      <c r="F303" s="3"/>
      <c r="H303" s="1374" t="s">
        <v>2656</v>
      </c>
      <c r="I303" s="1374"/>
      <c r="J303" s="1374"/>
      <c r="K303" s="1374"/>
      <c r="L303" s="1374"/>
      <c r="M303" s="1374"/>
      <c r="N303" s="1374"/>
      <c r="O303" s="1374"/>
      <c r="P303" s="1374"/>
      <c r="Q303" s="1374"/>
      <c r="R303" s="1374"/>
      <c r="T303" s="4" t="s">
        <v>878</v>
      </c>
      <c r="V303" s="3"/>
      <c r="W303" s="3"/>
      <c r="X303" s="3"/>
      <c r="Y303" s="3"/>
      <c r="AA303" s="1374" t="s">
        <v>2660</v>
      </c>
      <c r="AB303" s="1374"/>
      <c r="AC303" s="1374"/>
      <c r="AD303" s="1374"/>
      <c r="AE303" s="1374"/>
      <c r="AF303" s="1374"/>
      <c r="AG303" s="1374"/>
      <c r="AH303" s="1374"/>
      <c r="AI303" s="1374"/>
      <c r="AJ303" s="1374"/>
      <c r="AK303" s="1374"/>
    </row>
    <row r="304" spans="2:37" ht="13" customHeight="1">
      <c r="B304" s="3" t="s">
        <v>471</v>
      </c>
      <c r="C304" s="3"/>
      <c r="D304" s="3"/>
      <c r="E304" s="3"/>
      <c r="F304" s="3"/>
      <c r="H304" s="1349" t="s">
        <v>2657</v>
      </c>
      <c r="I304" s="1349"/>
      <c r="J304" s="1349"/>
      <c r="K304" s="1349"/>
      <c r="L304" s="1349"/>
      <c r="M304" s="1349"/>
      <c r="N304" s="1349"/>
      <c r="O304" s="1349"/>
      <c r="P304" s="1349"/>
      <c r="Q304" s="1349"/>
      <c r="R304" s="1349"/>
      <c r="T304" s="3" t="s">
        <v>471</v>
      </c>
      <c r="V304" s="3"/>
      <c r="W304" s="3"/>
      <c r="X304" s="3"/>
      <c r="Y304" s="3"/>
      <c r="AA304" s="1349" t="s">
        <v>2661</v>
      </c>
      <c r="AB304" s="1349"/>
      <c r="AC304" s="1349"/>
      <c r="AD304" s="1349"/>
      <c r="AE304" s="1349"/>
      <c r="AF304" s="1349"/>
      <c r="AG304" s="1349"/>
      <c r="AH304" s="1349"/>
      <c r="AI304" s="1349"/>
      <c r="AJ304" s="1349"/>
      <c r="AK304" s="1349"/>
    </row>
    <row r="305" spans="2:37" ht="13" customHeight="1">
      <c r="B305" s="3" t="s">
        <v>472</v>
      </c>
      <c r="C305" s="3"/>
      <c r="D305" s="3"/>
      <c r="E305" s="3"/>
      <c r="F305" s="3"/>
      <c r="H305" s="1349" t="s">
        <v>2658</v>
      </c>
      <c r="I305" s="1349"/>
      <c r="J305" s="1349"/>
      <c r="K305" s="1349"/>
      <c r="L305" s="1349"/>
      <c r="M305" s="1349"/>
      <c r="N305" s="1349"/>
      <c r="O305" s="1349"/>
      <c r="P305" s="1349"/>
      <c r="Q305" s="1349"/>
      <c r="R305" s="1349"/>
      <c r="T305" s="3" t="s">
        <v>75</v>
      </c>
      <c r="V305" s="3"/>
      <c r="W305" s="3"/>
      <c r="X305" s="3"/>
      <c r="Y305" s="3"/>
      <c r="AA305" s="1349" t="s">
        <v>2662</v>
      </c>
      <c r="AB305" s="1349"/>
      <c r="AC305" s="1349"/>
      <c r="AD305" s="1349"/>
      <c r="AE305" s="1349"/>
      <c r="AF305" s="1349"/>
      <c r="AG305" s="1349"/>
      <c r="AH305" s="1349"/>
      <c r="AI305" s="1349"/>
      <c r="AJ305" s="1349"/>
      <c r="AK305" s="1349"/>
    </row>
    <row r="306" spans="2:37" ht="13" customHeight="1">
      <c r="B306" s="3" t="s">
        <v>87</v>
      </c>
      <c r="C306" s="3"/>
      <c r="D306" s="3"/>
      <c r="E306" s="3"/>
      <c r="F306" s="3"/>
      <c r="H306" s="1349" t="s">
        <v>2659</v>
      </c>
      <c r="I306" s="1349"/>
      <c r="J306" s="1349"/>
      <c r="K306" s="1349"/>
      <c r="L306" s="1349"/>
      <c r="M306" s="1349"/>
      <c r="N306" s="1349"/>
      <c r="O306" s="1349"/>
      <c r="P306" s="1349"/>
      <c r="Q306" s="1349"/>
      <c r="R306" s="1349"/>
      <c r="T306" s="3" t="s">
        <v>87</v>
      </c>
      <c r="V306" s="3"/>
      <c r="W306" s="3"/>
      <c r="X306" s="3"/>
      <c r="Y306" s="3"/>
      <c r="AA306" s="1349" t="s">
        <v>2743</v>
      </c>
      <c r="AB306" s="1349"/>
      <c r="AC306" s="1349"/>
      <c r="AD306" s="1349"/>
      <c r="AE306" s="1349"/>
      <c r="AF306" s="1349"/>
      <c r="AG306" s="1349"/>
      <c r="AH306" s="1349"/>
      <c r="AI306" s="1349"/>
      <c r="AJ306" s="1349"/>
      <c r="AK306" s="1349"/>
    </row>
    <row r="307" spans="2:37" ht="13" customHeight="1">
      <c r="B307" s="3" t="s">
        <v>88</v>
      </c>
      <c r="C307" s="3"/>
      <c r="D307" s="3"/>
      <c r="E307" s="3"/>
      <c r="F307" s="3"/>
      <c r="G307" s="3"/>
      <c r="H307" s="1425" t="s">
        <v>2684</v>
      </c>
      <c r="I307" s="1425"/>
      <c r="J307" s="1425"/>
      <c r="K307" s="1425"/>
      <c r="L307" s="1425"/>
      <c r="M307" s="1425"/>
      <c r="N307" s="4" t="s">
        <v>205</v>
      </c>
      <c r="O307" s="4"/>
      <c r="P307" s="1419"/>
      <c r="Q307" s="1419"/>
      <c r="R307" s="1419"/>
      <c r="S307" s="3"/>
      <c r="T307" s="3" t="s">
        <v>88</v>
      </c>
      <c r="V307" s="3"/>
      <c r="W307" s="3"/>
      <c r="X307" s="3"/>
      <c r="Y307" s="3"/>
      <c r="AA307" s="1425" t="s">
        <v>2682</v>
      </c>
      <c r="AB307" s="1425"/>
      <c r="AC307" s="1425"/>
      <c r="AD307" s="1425"/>
      <c r="AE307" s="1425"/>
      <c r="AF307" s="1425"/>
      <c r="AG307" s="4" t="s">
        <v>205</v>
      </c>
      <c r="AH307" s="4"/>
      <c r="AI307" s="1419"/>
      <c r="AJ307" s="1419"/>
      <c r="AK307" s="1419"/>
    </row>
    <row r="308" spans="2:37" ht="13"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3" customHeight="1">
      <c r="B309" s="3" t="s">
        <v>76</v>
      </c>
      <c r="C309" s="3"/>
      <c r="D309" s="3"/>
      <c r="E309" s="3"/>
      <c r="F309" s="3"/>
      <c r="G309" s="3"/>
      <c r="H309" s="1349" t="s">
        <v>2674</v>
      </c>
      <c r="I309" s="1349"/>
      <c r="J309" s="1349"/>
      <c r="K309" s="1349"/>
      <c r="L309" s="1349"/>
      <c r="M309" s="1349"/>
      <c r="N309" s="1374"/>
      <c r="O309" s="1374"/>
      <c r="P309" s="1374"/>
      <c r="Q309" s="1374"/>
      <c r="R309" s="1374"/>
      <c r="S309" s="3"/>
      <c r="T309" s="3" t="s">
        <v>76</v>
      </c>
      <c r="V309" s="3"/>
      <c r="W309" s="3"/>
      <c r="X309" s="3"/>
      <c r="Y309" s="3"/>
      <c r="AA309" s="1349" t="s">
        <v>2744</v>
      </c>
      <c r="AB309" s="1349"/>
      <c r="AC309" s="1349"/>
      <c r="AD309" s="1349"/>
      <c r="AE309" s="1349"/>
      <c r="AF309" s="1349"/>
      <c r="AG309" s="1374"/>
      <c r="AH309" s="1374"/>
      <c r="AI309" s="1374"/>
      <c r="AJ309" s="1374"/>
      <c r="AK309" s="1374"/>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374" t="str">
        <f>H303</f>
        <v>Armanino LLP</v>
      </c>
      <c r="I311" s="1374"/>
      <c r="J311" s="1374"/>
      <c r="K311" s="1374"/>
      <c r="L311" s="1374"/>
      <c r="M311" s="1374"/>
      <c r="N311" s="1374"/>
      <c r="O311" s="1374"/>
      <c r="P311" s="1374"/>
      <c r="Q311" s="1374"/>
      <c r="R311" s="1374"/>
      <c r="S311" s="3"/>
      <c r="T311" s="3" t="s">
        <v>364</v>
      </c>
      <c r="V311" s="3"/>
      <c r="W311" s="3"/>
      <c r="X311" s="3"/>
      <c r="Y311" s="3"/>
      <c r="AA311" s="1373" t="s">
        <v>2663</v>
      </c>
      <c r="AB311" s="1374"/>
      <c r="AC311" s="1374"/>
      <c r="AD311" s="1374"/>
      <c r="AE311" s="1374"/>
      <c r="AF311" s="1374"/>
      <c r="AG311" s="1374"/>
      <c r="AH311" s="1374"/>
      <c r="AI311" s="1374"/>
      <c r="AJ311" s="1374"/>
      <c r="AK311" s="1374"/>
    </row>
    <row r="312" spans="2:37" ht="13" customHeight="1">
      <c r="B312" s="3" t="s">
        <v>471</v>
      </c>
      <c r="C312" s="3"/>
      <c r="D312" s="3"/>
      <c r="E312" s="3"/>
      <c r="F312" s="3"/>
      <c r="H312" s="1349" t="str">
        <f>H304</f>
        <v>50 W San Fernando St, Ste 500</v>
      </c>
      <c r="I312" s="1349"/>
      <c r="J312" s="1349"/>
      <c r="K312" s="1349"/>
      <c r="L312" s="1349"/>
      <c r="M312" s="1349"/>
      <c r="N312" s="1349"/>
      <c r="O312" s="1349"/>
      <c r="P312" s="1349"/>
      <c r="Q312" s="1349"/>
      <c r="R312" s="1349"/>
      <c r="S312" s="3"/>
      <c r="T312" s="3" t="s">
        <v>471</v>
      </c>
      <c r="V312" s="3"/>
      <c r="W312" s="3"/>
      <c r="X312" s="3"/>
      <c r="Y312" s="3"/>
      <c r="AA312" s="1349"/>
      <c r="AB312" s="1349"/>
      <c r="AC312" s="1349"/>
      <c r="AD312" s="1349"/>
      <c r="AE312" s="1349"/>
      <c r="AF312" s="1349"/>
      <c r="AG312" s="1349"/>
      <c r="AH312" s="1349"/>
      <c r="AI312" s="1349"/>
      <c r="AJ312" s="1349"/>
      <c r="AK312" s="1349"/>
    </row>
    <row r="313" spans="2:37" ht="13" customHeight="1">
      <c r="B313" s="3" t="s">
        <v>472</v>
      </c>
      <c r="C313" s="3"/>
      <c r="D313" s="3"/>
      <c r="E313" s="3"/>
      <c r="F313" s="3"/>
      <c r="H313" s="1349" t="str">
        <f>H305</f>
        <v>San Jose, CA 95113</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3" customHeight="1">
      <c r="B314" s="3" t="s">
        <v>87</v>
      </c>
      <c r="C314" s="3"/>
      <c r="D314" s="3"/>
      <c r="E314" s="3"/>
      <c r="F314" s="3"/>
      <c r="H314" s="1349" t="str">
        <f>H306</f>
        <v>Yu-Ting Wang</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3" customHeight="1">
      <c r="B315" s="3" t="s">
        <v>88</v>
      </c>
      <c r="C315" s="3"/>
      <c r="D315" s="3"/>
      <c r="E315" s="3"/>
      <c r="F315" s="3"/>
      <c r="G315" s="3"/>
      <c r="H315" s="1425" t="s">
        <v>2684</v>
      </c>
      <c r="I315" s="1425"/>
      <c r="J315" s="1425"/>
      <c r="K315" s="1425"/>
      <c r="L315" s="1425"/>
      <c r="M315" s="1425"/>
      <c r="N315" s="4" t="s">
        <v>205</v>
      </c>
      <c r="O315" s="4"/>
      <c r="P315" s="1419"/>
      <c r="Q315" s="1419"/>
      <c r="R315" s="1419"/>
      <c r="S315" s="3"/>
      <c r="T315" s="3" t="s">
        <v>88</v>
      </c>
      <c r="V315" s="3"/>
      <c r="W315" s="3"/>
      <c r="X315" s="3"/>
      <c r="Y315" s="3"/>
      <c r="AA315" s="1425"/>
      <c r="AB315" s="1425"/>
      <c r="AC315" s="1425"/>
      <c r="AD315" s="1425"/>
      <c r="AE315" s="1425"/>
      <c r="AF315" s="1425"/>
      <c r="AG315" s="4" t="s">
        <v>205</v>
      </c>
      <c r="AH315" s="4"/>
      <c r="AI315" s="1419"/>
      <c r="AJ315" s="1419"/>
      <c r="AK315" s="1419"/>
    </row>
    <row r="316" spans="2:37" ht="13"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3" customHeight="1">
      <c r="B317" s="3" t="s">
        <v>76</v>
      </c>
      <c r="C317" s="3"/>
      <c r="D317" s="3"/>
      <c r="E317" s="3"/>
      <c r="F317" s="3"/>
      <c r="G317" s="3"/>
      <c r="H317" s="1349" t="s">
        <v>2674</v>
      </c>
      <c r="I317" s="1349"/>
      <c r="J317" s="1349"/>
      <c r="K317" s="1349"/>
      <c r="L317" s="1349"/>
      <c r="M317" s="1349"/>
      <c r="N317" s="1374"/>
      <c r="O317" s="1374"/>
      <c r="P317" s="1374"/>
      <c r="Q317" s="1374"/>
      <c r="R317" s="1374"/>
      <c r="S317" s="3"/>
      <c r="T317" s="3" t="s">
        <v>76</v>
      </c>
      <c r="V317" s="3"/>
      <c r="W317" s="3"/>
      <c r="X317" s="3"/>
      <c r="Y317" s="3"/>
      <c r="AA317" s="1349"/>
      <c r="AB317" s="1349"/>
      <c r="AC317" s="1349"/>
      <c r="AD317" s="1349"/>
      <c r="AE317" s="1349"/>
      <c r="AF317" s="1349"/>
      <c r="AG317" s="1374"/>
      <c r="AH317" s="1374"/>
      <c r="AI317" s="1374"/>
      <c r="AJ317" s="1374"/>
      <c r="AK317" s="1374"/>
    </row>
    <row r="318" spans="2:37" ht="13" customHeight="1"/>
    <row r="319" spans="2:37" ht="13" customHeight="1">
      <c r="B319" s="4" t="s">
        <v>908</v>
      </c>
      <c r="C319" s="3"/>
      <c r="D319" s="3"/>
      <c r="E319" s="3"/>
      <c r="F319" s="3"/>
      <c r="H319" s="1374" t="s">
        <v>2664</v>
      </c>
      <c r="I319" s="1374"/>
      <c r="J319" s="1374"/>
      <c r="K319" s="1374"/>
      <c r="L319" s="1374"/>
      <c r="M319" s="1374"/>
      <c r="N319" s="1374"/>
      <c r="O319" s="1374"/>
      <c r="P319" s="1374"/>
      <c r="Q319" s="1374"/>
      <c r="R319" s="1374"/>
      <c r="T319" s="3" t="s">
        <v>365</v>
      </c>
      <c r="V319" s="3"/>
      <c r="W319" s="3"/>
      <c r="X319" s="3"/>
      <c r="Y319" s="3"/>
      <c r="AA319" s="1374" t="s">
        <v>2668</v>
      </c>
      <c r="AB319" s="1374"/>
      <c r="AC319" s="1374"/>
      <c r="AD319" s="1374"/>
      <c r="AE319" s="1374"/>
      <c r="AF319" s="1374"/>
      <c r="AG319" s="1374"/>
      <c r="AH319" s="1374"/>
      <c r="AI319" s="1374"/>
      <c r="AJ319" s="1374"/>
      <c r="AK319" s="1374"/>
    </row>
    <row r="320" spans="2:37" ht="13" customHeight="1">
      <c r="B320" s="3" t="s">
        <v>471</v>
      </c>
      <c r="C320" s="3"/>
      <c r="D320" s="3"/>
      <c r="E320" s="3"/>
      <c r="F320" s="3"/>
      <c r="H320" s="1349" t="s">
        <v>2665</v>
      </c>
      <c r="I320" s="1349"/>
      <c r="J320" s="1349"/>
      <c r="K320" s="1349"/>
      <c r="L320" s="1349"/>
      <c r="M320" s="1349"/>
      <c r="N320" s="1349"/>
      <c r="O320" s="1349"/>
      <c r="P320" s="1349"/>
      <c r="Q320" s="1349"/>
      <c r="R320" s="1349"/>
      <c r="T320" s="3" t="s">
        <v>471</v>
      </c>
      <c r="V320" s="3"/>
      <c r="W320" s="3"/>
      <c r="X320" s="3"/>
      <c r="Y320" s="3"/>
      <c r="AA320" s="1349" t="s">
        <v>2669</v>
      </c>
      <c r="AB320" s="1349"/>
      <c r="AC320" s="1349"/>
      <c r="AD320" s="1349"/>
      <c r="AE320" s="1349"/>
      <c r="AF320" s="1349"/>
      <c r="AG320" s="1349"/>
      <c r="AH320" s="1349"/>
      <c r="AI320" s="1349"/>
      <c r="AJ320" s="1349"/>
      <c r="AK320" s="1349"/>
    </row>
    <row r="321" spans="2:37" ht="13" customHeight="1">
      <c r="B321" s="3" t="s">
        <v>472</v>
      </c>
      <c r="C321" s="3"/>
      <c r="D321" s="3"/>
      <c r="E321" s="3"/>
      <c r="F321" s="3"/>
      <c r="H321" s="1349" t="s">
        <v>2666</v>
      </c>
      <c r="I321" s="1349"/>
      <c r="J321" s="1349"/>
      <c r="K321" s="1349"/>
      <c r="L321" s="1349"/>
      <c r="M321" s="1349"/>
      <c r="N321" s="1349"/>
      <c r="O321" s="1349"/>
      <c r="P321" s="1349"/>
      <c r="Q321" s="1349"/>
      <c r="R321" s="1349"/>
      <c r="T321" s="3" t="s">
        <v>75</v>
      </c>
      <c r="V321" s="3"/>
      <c r="W321" s="3"/>
      <c r="X321" s="3"/>
      <c r="Y321" s="3"/>
      <c r="AA321" s="1349" t="s">
        <v>2658</v>
      </c>
      <c r="AB321" s="1349"/>
      <c r="AC321" s="1349"/>
      <c r="AD321" s="1349"/>
      <c r="AE321" s="1349"/>
      <c r="AF321" s="1349"/>
      <c r="AG321" s="1349"/>
      <c r="AH321" s="1349"/>
      <c r="AI321" s="1349"/>
      <c r="AJ321" s="1349"/>
      <c r="AK321" s="1349"/>
    </row>
    <row r="322" spans="2:37" ht="13" customHeight="1">
      <c r="B322" s="3" t="s">
        <v>87</v>
      </c>
      <c r="C322" s="3"/>
      <c r="D322" s="3"/>
      <c r="E322" s="3"/>
      <c r="F322" s="3"/>
      <c r="H322" s="1349" t="s">
        <v>2667</v>
      </c>
      <c r="I322" s="1349"/>
      <c r="J322" s="1349"/>
      <c r="K322" s="1349"/>
      <c r="L322" s="1349"/>
      <c r="M322" s="1349"/>
      <c r="N322" s="1349"/>
      <c r="O322" s="1349"/>
      <c r="P322" s="1349"/>
      <c r="Q322" s="1349"/>
      <c r="R322" s="1349"/>
      <c r="T322" s="3" t="s">
        <v>87</v>
      </c>
      <c r="V322" s="3"/>
      <c r="W322" s="3"/>
      <c r="X322" s="3"/>
      <c r="Y322" s="3"/>
      <c r="AA322" s="1349" t="s">
        <v>2745</v>
      </c>
      <c r="AB322" s="1349"/>
      <c r="AC322" s="1349"/>
      <c r="AD322" s="1349"/>
      <c r="AE322" s="1349"/>
      <c r="AF322" s="1349"/>
      <c r="AG322" s="1349"/>
      <c r="AH322" s="1349"/>
      <c r="AI322" s="1349"/>
      <c r="AJ322" s="1349"/>
      <c r="AK322" s="1349"/>
    </row>
    <row r="323" spans="2:37" ht="13" customHeight="1">
      <c r="B323" s="3" t="s">
        <v>88</v>
      </c>
      <c r="C323" s="3"/>
      <c r="D323" s="3"/>
      <c r="E323" s="3"/>
      <c r="F323" s="3"/>
      <c r="G323" s="3"/>
      <c r="H323" s="1425" t="s">
        <v>2687</v>
      </c>
      <c r="I323" s="1425"/>
      <c r="J323" s="1425"/>
      <c r="K323" s="1425"/>
      <c r="L323" s="1425"/>
      <c r="M323" s="1425"/>
      <c r="N323" s="4" t="s">
        <v>205</v>
      </c>
      <c r="O323" s="4"/>
      <c r="P323" s="1419"/>
      <c r="Q323" s="1419"/>
      <c r="R323" s="1419"/>
      <c r="S323" s="3"/>
      <c r="T323" s="3" t="s">
        <v>88</v>
      </c>
      <c r="V323" s="3"/>
      <c r="W323" s="3"/>
      <c r="X323" s="3"/>
      <c r="Y323" s="3"/>
      <c r="AA323" s="1425">
        <v>9252742812</v>
      </c>
      <c r="AB323" s="1425"/>
      <c r="AC323" s="1425"/>
      <c r="AD323" s="1425"/>
      <c r="AE323" s="1425"/>
      <c r="AF323" s="1425"/>
      <c r="AG323" s="4" t="s">
        <v>205</v>
      </c>
      <c r="AH323" s="4"/>
      <c r="AI323" s="1419"/>
      <c r="AJ323" s="1419"/>
      <c r="AK323" s="1419"/>
    </row>
    <row r="324" spans="2:37" ht="13"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3" customHeight="1">
      <c r="B325" s="3" t="s">
        <v>76</v>
      </c>
      <c r="C325" s="3"/>
      <c r="D325" s="3"/>
      <c r="E325" s="3"/>
      <c r="F325" s="3"/>
      <c r="G325" s="3"/>
      <c r="H325" s="1349" t="s">
        <v>2675</v>
      </c>
      <c r="I325" s="1349"/>
      <c r="J325" s="1349"/>
      <c r="K325" s="1349"/>
      <c r="L325" s="1349"/>
      <c r="M325" s="1349"/>
      <c r="N325" s="1374"/>
      <c r="O325" s="1374"/>
      <c r="P325" s="1374"/>
      <c r="Q325" s="1374"/>
      <c r="R325" s="1374"/>
      <c r="S325" s="3"/>
      <c r="T325" s="3" t="s">
        <v>76</v>
      </c>
      <c r="V325" s="3"/>
      <c r="W325" s="3"/>
      <c r="X325" s="3"/>
      <c r="Y325" s="3"/>
      <c r="AA325" s="1349" t="s">
        <v>2746</v>
      </c>
      <c r="AB325" s="1349"/>
      <c r="AC325" s="1349"/>
      <c r="AD325" s="1349"/>
      <c r="AE325" s="1349"/>
      <c r="AF325" s="1349"/>
      <c r="AG325" s="1374"/>
      <c r="AH325" s="1374"/>
      <c r="AI325" s="1374"/>
      <c r="AJ325" s="1374"/>
      <c r="AK325" s="1374"/>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4" t="s">
        <v>2668</v>
      </c>
      <c r="I327" s="1374"/>
      <c r="J327" s="1374"/>
      <c r="K327" s="1374"/>
      <c r="L327" s="1374"/>
      <c r="M327" s="1374"/>
      <c r="N327" s="1374"/>
      <c r="O327" s="1374"/>
      <c r="P327" s="1374"/>
      <c r="Q327" s="1374"/>
      <c r="R327" s="1374"/>
      <c r="T327" s="3" t="s">
        <v>367</v>
      </c>
      <c r="V327" s="3"/>
      <c r="W327" s="3"/>
      <c r="X327" s="3"/>
      <c r="Y327" s="3"/>
      <c r="AA327" s="1373" t="s">
        <v>591</v>
      </c>
      <c r="AB327" s="1374"/>
      <c r="AC327" s="1374"/>
      <c r="AD327" s="1374"/>
      <c r="AE327" s="1374"/>
      <c r="AF327" s="1374"/>
      <c r="AG327" s="1374"/>
      <c r="AH327" s="1374"/>
      <c r="AI327" s="1374"/>
      <c r="AJ327" s="1374"/>
      <c r="AK327" s="1374"/>
    </row>
    <row r="328" spans="2:37" ht="13" customHeight="1">
      <c r="B328" s="3" t="s">
        <v>471</v>
      </c>
      <c r="C328" s="3"/>
      <c r="D328" s="3"/>
      <c r="E328" s="3"/>
      <c r="F328" s="3"/>
      <c r="H328" s="1349" t="s">
        <v>2669</v>
      </c>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3" customHeight="1">
      <c r="B329" s="3" t="s">
        <v>472</v>
      </c>
      <c r="C329" s="3"/>
      <c r="D329" s="3"/>
      <c r="E329" s="3"/>
      <c r="F329" s="3"/>
      <c r="H329" s="1349" t="s">
        <v>2658</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 customHeight="1">
      <c r="B330" s="3" t="s">
        <v>87</v>
      </c>
      <c r="C330" s="3"/>
      <c r="D330" s="3"/>
      <c r="E330" s="3"/>
      <c r="F330" s="3"/>
      <c r="H330" s="1349" t="s">
        <v>2670</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 customHeight="1">
      <c r="B331" s="3" t="s">
        <v>88</v>
      </c>
      <c r="C331" s="3"/>
      <c r="D331" s="3"/>
      <c r="E331" s="3"/>
      <c r="F331" s="3"/>
      <c r="G331" s="3"/>
      <c r="H331" s="1425" t="s">
        <v>2683</v>
      </c>
      <c r="I331" s="1425"/>
      <c r="J331" s="1425"/>
      <c r="K331" s="1425"/>
      <c r="L331" s="1425"/>
      <c r="M331" s="1425"/>
      <c r="N331" s="4" t="s">
        <v>205</v>
      </c>
      <c r="O331" s="4"/>
      <c r="P331" s="1419"/>
      <c r="Q331" s="1419"/>
      <c r="R331" s="1419"/>
      <c r="S331" s="3"/>
      <c r="T331" s="3" t="s">
        <v>88</v>
      </c>
      <c r="V331" s="3"/>
      <c r="W331" s="3"/>
      <c r="X331" s="3"/>
      <c r="Y331" s="3"/>
      <c r="AA331" s="1425"/>
      <c r="AB331" s="1425"/>
      <c r="AC331" s="1425"/>
      <c r="AD331" s="1425"/>
      <c r="AE331" s="1425"/>
      <c r="AF331" s="1425"/>
      <c r="AG331" s="4" t="s">
        <v>205</v>
      </c>
      <c r="AH331" s="4"/>
      <c r="AI331" s="1419"/>
      <c r="AJ331" s="1419"/>
      <c r="AK331" s="1419"/>
    </row>
    <row r="332" spans="2:37" ht="13"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 customHeight="1">
      <c r="B333" s="3" t="s">
        <v>76</v>
      </c>
      <c r="C333" s="3"/>
      <c r="D333" s="3"/>
      <c r="E333" s="3"/>
      <c r="F333" s="3"/>
      <c r="G333" s="3"/>
      <c r="H333" s="1349" t="s">
        <v>2676</v>
      </c>
      <c r="I333" s="1349"/>
      <c r="J333" s="1349"/>
      <c r="K333" s="1349"/>
      <c r="L333" s="1349"/>
      <c r="M333" s="1349"/>
      <c r="N333" s="1374"/>
      <c r="O333" s="1374"/>
      <c r="P333" s="1374"/>
      <c r="Q333" s="1374"/>
      <c r="R333" s="1374"/>
      <c r="S333" s="3"/>
      <c r="T333" s="3" t="s">
        <v>76</v>
      </c>
      <c r="V333" s="3"/>
      <c r="W333" s="3"/>
      <c r="X333" s="3"/>
      <c r="Y333" s="3"/>
      <c r="AA333" s="1349"/>
      <c r="AB333" s="1349"/>
      <c r="AC333" s="1349"/>
      <c r="AD333" s="1349"/>
      <c r="AE333" s="1349"/>
      <c r="AF333" s="1349"/>
      <c r="AG333" s="1374"/>
      <c r="AH333" s="1374"/>
      <c r="AI333" s="1374"/>
      <c r="AJ333" s="1374"/>
      <c r="AK333" s="1374"/>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4" t="s">
        <v>2737</v>
      </c>
      <c r="I335" s="1374"/>
      <c r="J335" s="1374"/>
      <c r="K335" s="1374"/>
      <c r="L335" s="1374"/>
      <c r="M335" s="1374"/>
      <c r="N335" s="1374"/>
      <c r="O335" s="1374"/>
      <c r="P335" s="1374"/>
      <c r="Q335" s="1374"/>
      <c r="R335" s="1374"/>
      <c r="T335" s="204" t="s">
        <v>886</v>
      </c>
      <c r="V335" s="3"/>
      <c r="W335" s="3"/>
      <c r="X335" s="3"/>
      <c r="Y335" s="3"/>
      <c r="AA335" s="1374" t="s">
        <v>2671</v>
      </c>
      <c r="AB335" s="1374"/>
      <c r="AC335" s="1374"/>
      <c r="AD335" s="1374"/>
      <c r="AE335" s="1374"/>
      <c r="AF335" s="1374"/>
      <c r="AG335" s="1374"/>
      <c r="AH335" s="1374"/>
      <c r="AI335" s="1374"/>
      <c r="AJ335" s="1374"/>
      <c r="AK335" s="1374"/>
    </row>
    <row r="336" spans="2:37" ht="13" customHeight="1">
      <c r="B336" s="3" t="s">
        <v>471</v>
      </c>
      <c r="C336" s="3"/>
      <c r="D336" s="3"/>
      <c r="E336" s="3"/>
      <c r="F336" s="3"/>
      <c r="H336" s="1349" t="s">
        <v>2741</v>
      </c>
      <c r="I336" s="1349"/>
      <c r="J336" s="1349"/>
      <c r="K336" s="1349"/>
      <c r="L336" s="1349"/>
      <c r="M336" s="1349"/>
      <c r="N336" s="1349"/>
      <c r="O336" s="1349"/>
      <c r="P336" s="1349"/>
      <c r="Q336" s="1349"/>
      <c r="R336" s="1349"/>
      <c r="T336" s="3" t="s">
        <v>471</v>
      </c>
      <c r="V336" s="3"/>
      <c r="W336" s="3"/>
      <c r="X336" s="3"/>
      <c r="Y336" s="3"/>
      <c r="AA336" s="1349" t="s">
        <v>2672</v>
      </c>
      <c r="AB336" s="1349"/>
      <c r="AC336" s="1349"/>
      <c r="AD336" s="1349"/>
      <c r="AE336" s="1349"/>
      <c r="AF336" s="1349"/>
      <c r="AG336" s="1349"/>
      <c r="AH336" s="1349"/>
      <c r="AI336" s="1349"/>
      <c r="AJ336" s="1349"/>
      <c r="AK336" s="1349"/>
    </row>
    <row r="337" spans="1:66" ht="13" customHeight="1">
      <c r="B337" s="3" t="s">
        <v>75</v>
      </c>
      <c r="C337" s="3"/>
      <c r="D337" s="3"/>
      <c r="E337" s="3"/>
      <c r="F337" s="3"/>
      <c r="H337" s="1349" t="s">
        <v>2740</v>
      </c>
      <c r="I337" s="1349"/>
      <c r="J337" s="1349"/>
      <c r="K337" s="1349"/>
      <c r="L337" s="1349"/>
      <c r="M337" s="1349"/>
      <c r="N337" s="1349"/>
      <c r="O337" s="1349"/>
      <c r="P337" s="1349"/>
      <c r="Q337" s="1349"/>
      <c r="R337" s="1349"/>
      <c r="T337" s="3" t="s">
        <v>75</v>
      </c>
      <c r="V337" s="3"/>
      <c r="W337" s="3"/>
      <c r="X337" s="3"/>
      <c r="Y337" s="3"/>
      <c r="AA337" s="1349" t="s">
        <v>2635</v>
      </c>
      <c r="AB337" s="1349"/>
      <c r="AC337" s="1349"/>
      <c r="AD337" s="1349"/>
      <c r="AE337" s="1349"/>
      <c r="AF337" s="1349"/>
      <c r="AG337" s="1349"/>
      <c r="AH337" s="1349"/>
      <c r="AI337" s="1349"/>
      <c r="AJ337" s="1349"/>
      <c r="AK337" s="1349"/>
    </row>
    <row r="338" spans="1:66" ht="13" customHeight="1">
      <c r="B338" s="3" t="s">
        <v>87</v>
      </c>
      <c r="C338" s="3"/>
      <c r="D338" s="3"/>
      <c r="E338" s="3"/>
      <c r="F338" s="3"/>
      <c r="G338" s="3"/>
      <c r="H338" s="1349" t="s">
        <v>2738</v>
      </c>
      <c r="I338" s="1349"/>
      <c r="J338" s="1349"/>
      <c r="K338" s="1349"/>
      <c r="L338" s="1349"/>
      <c r="M338" s="1349"/>
      <c r="N338" s="1349"/>
      <c r="O338" s="1349"/>
      <c r="P338" s="1349"/>
      <c r="Q338" s="1349"/>
      <c r="R338" s="1349"/>
      <c r="T338" s="3" t="s">
        <v>87</v>
      </c>
      <c r="V338" s="3"/>
      <c r="W338" s="3"/>
      <c r="X338" s="3"/>
      <c r="Y338" s="3"/>
      <c r="AA338" s="1349" t="s">
        <v>2673</v>
      </c>
      <c r="AB338" s="1349"/>
      <c r="AC338" s="1349"/>
      <c r="AD338" s="1349"/>
      <c r="AE338" s="1349"/>
      <c r="AF338" s="1349"/>
      <c r="AG338" s="1349"/>
      <c r="AH338" s="1349"/>
      <c r="AI338" s="1349"/>
      <c r="AJ338" s="1349"/>
      <c r="AK338" s="1349"/>
    </row>
    <row r="339" spans="1:66" ht="13" customHeight="1">
      <c r="B339" s="3" t="s">
        <v>88</v>
      </c>
      <c r="C339" s="3"/>
      <c r="D339" s="3"/>
      <c r="E339" s="3"/>
      <c r="F339" s="3"/>
      <c r="G339" s="3"/>
      <c r="H339" s="1771" t="s">
        <v>2752</v>
      </c>
      <c r="I339" s="1425"/>
      <c r="J339" s="1425"/>
      <c r="K339" s="1425"/>
      <c r="L339" s="1425"/>
      <c r="M339" s="1425"/>
      <c r="N339" s="4" t="s">
        <v>205</v>
      </c>
      <c r="O339" s="4"/>
      <c r="P339" s="1419"/>
      <c r="Q339" s="1419"/>
      <c r="R339" s="1419"/>
      <c r="S339" s="3"/>
      <c r="T339" s="3" t="s">
        <v>88</v>
      </c>
      <c r="V339" s="3"/>
      <c r="W339" s="3"/>
      <c r="X339" s="3"/>
      <c r="Y339" s="3"/>
      <c r="AA339" s="1425" t="s">
        <v>2686</v>
      </c>
      <c r="AB339" s="1425"/>
      <c r="AC339" s="1425"/>
      <c r="AD339" s="1425"/>
      <c r="AE339" s="1425"/>
      <c r="AF339" s="1425"/>
      <c r="AG339" s="4" t="s">
        <v>205</v>
      </c>
      <c r="AH339" s="4"/>
      <c r="AI339" s="1419"/>
      <c r="AJ339" s="1419"/>
      <c r="AK339" s="1419"/>
    </row>
    <row r="340" spans="1:66" ht="13"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3" customHeight="1">
      <c r="B341" s="3" t="s">
        <v>76</v>
      </c>
      <c r="C341" s="3"/>
      <c r="D341" s="3"/>
      <c r="E341" s="3"/>
      <c r="F341" s="3"/>
      <c r="G341" s="3"/>
      <c r="H341" s="1349" t="s">
        <v>2739</v>
      </c>
      <c r="I341" s="1349"/>
      <c r="J341" s="1349"/>
      <c r="K341" s="1349"/>
      <c r="L341" s="1349"/>
      <c r="M341" s="1349"/>
      <c r="N341" s="1374"/>
      <c r="O341" s="1374"/>
      <c r="P341" s="1374"/>
      <c r="Q341" s="1374"/>
      <c r="R341" s="1374"/>
      <c r="S341" s="3"/>
      <c r="T341" s="3" t="s">
        <v>76</v>
      </c>
      <c r="V341" s="3"/>
      <c r="W341" s="3"/>
      <c r="X341" s="3"/>
      <c r="Y341" s="3"/>
      <c r="AA341" s="1349" t="s">
        <v>2677</v>
      </c>
      <c r="AB341" s="1349"/>
      <c r="AC341" s="1349"/>
      <c r="AD341" s="1349"/>
      <c r="AE341" s="1349"/>
      <c r="AF341" s="1349"/>
      <c r="AG341" s="1374"/>
      <c r="AH341" s="1374"/>
      <c r="AI341" s="1374"/>
      <c r="AJ341" s="1374"/>
      <c r="AK341" s="1374"/>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373" t="s">
        <v>591</v>
      </c>
      <c r="Q343" s="1374"/>
      <c r="R343" s="1374"/>
      <c r="S343" s="1374"/>
      <c r="T343" s="1374"/>
      <c r="U343" s="1374"/>
      <c r="V343" s="1374"/>
      <c r="W343" s="1374"/>
      <c r="X343" s="1374"/>
      <c r="Y343" s="1374"/>
      <c r="Z343" s="1374"/>
      <c r="AA343" s="1374"/>
      <c r="AB343" s="1374"/>
      <c r="AC343" s="1374"/>
      <c r="AD343" s="1374"/>
      <c r="AE343" s="1374"/>
      <c r="BN343" t="s">
        <v>669</v>
      </c>
    </row>
    <row r="344" spans="1:66" ht="13"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3"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 customHeight="1">
      <c r="B349" s="4"/>
      <c r="C349" s="4"/>
      <c r="D349" s="4"/>
      <c r="E349" s="4"/>
      <c r="F349" s="4"/>
      <c r="G349" s="4"/>
      <c r="I349" s="4" t="s">
        <v>76</v>
      </c>
      <c r="P349" s="1374"/>
      <c r="Q349" s="1374"/>
      <c r="R349" s="1374"/>
      <c r="S349" s="1374"/>
      <c r="T349" s="1374"/>
      <c r="U349" s="1374"/>
      <c r="V349" s="1374"/>
      <c r="W349" s="1374"/>
      <c r="X349" s="1374"/>
      <c r="Y349" s="1374"/>
      <c r="Z349" s="1374"/>
      <c r="AA349" s="1374"/>
      <c r="AB349" s="1374"/>
      <c r="AC349" s="1374"/>
      <c r="AD349" s="1374"/>
      <c r="AE349" s="1374"/>
    </row>
    <row r="350" spans="1:66" ht="13" customHeight="1">
      <c r="T350" s="8"/>
      <c r="U350" s="8"/>
      <c r="V350" s="8"/>
      <c r="W350" s="8"/>
      <c r="X350" s="8"/>
      <c r="Y350" s="8"/>
      <c r="Z350" s="8"/>
      <c r="AU350" s="95"/>
      <c r="AV350" s="95"/>
      <c r="AW350" s="95"/>
      <c r="AX350" s="95"/>
      <c r="AY350" s="95"/>
    </row>
    <row r="351" spans="1:66" ht="13"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3"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332" t="s">
        <v>545</v>
      </c>
      <c r="N355" s="1332"/>
      <c r="P355" t="s">
        <v>1650</v>
      </c>
      <c r="AJ355" s="1332" t="s">
        <v>545</v>
      </c>
      <c r="AK355" s="1332"/>
    </row>
    <row r="356" spans="1:46" ht="13" customHeight="1">
      <c r="D356" s="3" t="s">
        <v>1639</v>
      </c>
      <c r="M356" s="1332" t="s">
        <v>591</v>
      </c>
      <c r="N356" s="1332"/>
      <c r="P356" s="3" t="s">
        <v>1719</v>
      </c>
      <c r="AJ356" s="1448">
        <v>0</v>
      </c>
      <c r="AK356" s="1448"/>
    </row>
    <row r="357" spans="1:46" ht="13" customHeight="1">
      <c r="D357" s="3" t="s">
        <v>704</v>
      </c>
      <c r="M357" s="1332" t="s">
        <v>591</v>
      </c>
      <c r="N357" s="1332"/>
      <c r="P357" t="s">
        <v>1649</v>
      </c>
      <c r="AJ357" s="1332" t="s">
        <v>669</v>
      </c>
      <c r="AK357" s="1332"/>
    </row>
    <row r="358" spans="1:46" ht="13" customHeight="1">
      <c r="D358" s="3" t="s">
        <v>705</v>
      </c>
      <c r="M358" s="1332" t="s">
        <v>591</v>
      </c>
      <c r="N358" s="1332"/>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3" customHeight="1">
      <c r="E364" t="s">
        <v>369</v>
      </c>
      <c r="Y364" s="1332" t="s">
        <v>591</v>
      </c>
      <c r="Z364" s="1332"/>
    </row>
    <row r="365" spans="1:46" ht="13" customHeight="1">
      <c r="D365" s="4" t="s">
        <v>978</v>
      </c>
      <c r="Q365" s="1374"/>
      <c r="R365" s="1374"/>
      <c r="S365" s="1374"/>
      <c r="T365" s="1374"/>
      <c r="U365" s="1374"/>
      <c r="V365" s="1374"/>
      <c r="W365" s="1374"/>
      <c r="X365" s="1374"/>
      <c r="Y365" s="1374"/>
      <c r="Z365" s="1374"/>
      <c r="AA365" s="1374"/>
      <c r="AB365" s="1374"/>
      <c r="AC365" s="1374"/>
      <c r="AD365" s="1374"/>
      <c r="AE365" s="1374"/>
      <c r="AF365" s="1374"/>
      <c r="AG365" s="1374"/>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8" t="s">
        <v>706</v>
      </c>
      <c r="F368" s="1418"/>
      <c r="G368" s="1418"/>
      <c r="H368" s="1418"/>
      <c r="I368" s="1418"/>
      <c r="J368" s="1418"/>
      <c r="K368" s="1418"/>
      <c r="L368" s="1418"/>
      <c r="M368" s="1418"/>
      <c r="N368" s="1418"/>
      <c r="O368" s="1418"/>
      <c r="P368" s="1418"/>
      <c r="Q368" s="1418"/>
      <c r="R368" s="1418"/>
      <c r="S368" s="1418"/>
      <c r="T368" s="1418"/>
      <c r="U368" s="1418"/>
      <c r="V368" s="1418"/>
      <c r="W368" s="1418"/>
      <c r="X368" s="1418"/>
      <c r="Y368" s="1418"/>
      <c r="Z368" s="1418"/>
      <c r="AA368" s="1418"/>
      <c r="AB368" s="1418"/>
      <c r="AC368" s="1418"/>
      <c r="AD368" s="1418"/>
      <c r="AE368" s="1418"/>
      <c r="AF368" s="1418"/>
      <c r="AG368" s="1418"/>
      <c r="AH368" s="1418"/>
    </row>
    <row r="369" spans="1:34" ht="13" customHeight="1">
      <c r="E369" s="1418"/>
      <c r="F369" s="1418"/>
      <c r="G369" s="1418"/>
      <c r="H369" s="1418"/>
      <c r="I369" s="1418"/>
      <c r="J369" s="1418"/>
      <c r="K369" s="1418"/>
      <c r="L369" s="1418"/>
      <c r="M369" s="1418"/>
      <c r="N369" s="1418"/>
      <c r="O369" s="1418"/>
      <c r="P369" s="1418"/>
      <c r="Q369" s="1418"/>
      <c r="R369" s="1418"/>
      <c r="S369" s="1418"/>
      <c r="T369" s="1418"/>
      <c r="U369" s="1418"/>
      <c r="V369" s="1418"/>
      <c r="W369" s="1418"/>
      <c r="X369" s="1418"/>
      <c r="Y369" s="1418"/>
      <c r="Z369" s="1418"/>
      <c r="AA369" s="1418"/>
      <c r="AB369" s="1418"/>
      <c r="AC369" s="1418"/>
      <c r="AD369" s="1418"/>
      <c r="AE369" s="1418"/>
      <c r="AF369" s="1418"/>
      <c r="AG369" s="1418"/>
      <c r="AH369" s="1418"/>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3" customHeight="1">
      <c r="E378" s="4" t="s">
        <v>987</v>
      </c>
      <c r="F378" s="4"/>
      <c r="G378" s="4"/>
      <c r="H378" s="4"/>
      <c r="I378" s="4"/>
      <c r="J378" s="4"/>
      <c r="K378" s="4"/>
      <c r="L378" s="4"/>
      <c r="N378" s="1818"/>
      <c r="O378" s="1818"/>
      <c r="P378" s="1818"/>
    </row>
    <row r="379" spans="1:34" ht="13" customHeight="1">
      <c r="E379" s="204" t="s">
        <v>2086</v>
      </c>
      <c r="F379" s="4"/>
      <c r="G379" s="4"/>
      <c r="H379" s="4"/>
      <c r="I379" s="4"/>
      <c r="J379" s="4"/>
      <c r="K379" s="4"/>
      <c r="L379" s="4"/>
      <c r="AG379" s="1807" t="s">
        <v>591</v>
      </c>
      <c r="AH379" s="1807"/>
    </row>
    <row r="380" spans="1:34" ht="13" customHeight="1">
      <c r="E380" s="4"/>
      <c r="F380" s="4"/>
      <c r="G380" s="4" t="s">
        <v>2087</v>
      </c>
      <c r="H380" s="4"/>
      <c r="I380" s="4"/>
      <c r="J380" s="4"/>
      <c r="K380" s="4"/>
      <c r="L380" s="4"/>
      <c r="AG380" s="1807" t="s">
        <v>591</v>
      </c>
      <c r="AH380" s="1807"/>
    </row>
    <row r="381" spans="1:34" ht="13" customHeight="1">
      <c r="E381" s="4"/>
      <c r="F381" s="4"/>
      <c r="G381" s="320" t="s">
        <v>988</v>
      </c>
      <c r="H381" s="4"/>
      <c r="I381" s="4"/>
      <c r="J381" s="4"/>
      <c r="K381" s="4"/>
      <c r="L381" s="4"/>
      <c r="V381" s="1332" t="s">
        <v>591</v>
      </c>
      <c r="W381" s="1332"/>
      <c r="Y381" s="22" t="s">
        <v>980</v>
      </c>
    </row>
    <row r="382" spans="1:34" ht="13" customHeight="1">
      <c r="E382" s="4" t="s">
        <v>981</v>
      </c>
      <c r="F382" s="4"/>
      <c r="G382" s="4"/>
      <c r="H382" s="4"/>
      <c r="I382" s="4"/>
      <c r="J382" s="4"/>
      <c r="K382" s="4"/>
      <c r="L382" s="4"/>
      <c r="V382" s="1332" t="s">
        <v>591</v>
      </c>
      <c r="W382" s="1332"/>
      <c r="Y382" s="4" t="s">
        <v>982</v>
      </c>
    </row>
    <row r="383" spans="1:34" ht="13" customHeight="1"/>
    <row r="384" spans="1:34" ht="13" customHeight="1">
      <c r="A384" s="2" t="s">
        <v>78</v>
      </c>
      <c r="B384" s="2"/>
    </row>
    <row r="385" spans="4:36" ht="13" customHeight="1">
      <c r="D385" t="s">
        <v>427</v>
      </c>
      <c r="J385" s="1374" t="s">
        <v>2689</v>
      </c>
      <c r="K385" s="1374"/>
      <c r="L385" s="1374"/>
      <c r="M385" s="1374"/>
      <c r="N385" s="1374"/>
      <c r="O385" s="1374"/>
      <c r="P385" s="1374"/>
      <c r="Q385" s="1374"/>
      <c r="R385" s="1374"/>
      <c r="S385" s="1374"/>
      <c r="T385" s="1374"/>
      <c r="U385" s="1374"/>
      <c r="V385" s="8" t="s">
        <v>83</v>
      </c>
      <c r="W385" s="8"/>
      <c r="X385" s="8"/>
      <c r="Y385" s="8"/>
      <c r="Z385" s="8"/>
      <c r="AA385" s="8"/>
      <c r="AB385" s="8"/>
      <c r="AC385" s="1374"/>
      <c r="AD385" s="1374"/>
      <c r="AE385" s="1374"/>
      <c r="AF385" s="1374"/>
      <c r="AG385" s="1374"/>
      <c r="AH385" s="1374"/>
      <c r="AI385" s="1374"/>
      <c r="AJ385" s="1374"/>
    </row>
    <row r="386" spans="4:36" ht="13" customHeight="1">
      <c r="D386" s="3" t="s">
        <v>1182</v>
      </c>
      <c r="J386" s="1349" t="s">
        <v>2690</v>
      </c>
      <c r="K386" s="1349"/>
      <c r="L386" s="1349"/>
      <c r="M386" s="1349"/>
      <c r="N386" s="1349"/>
      <c r="O386" s="1349"/>
      <c r="P386" s="1349"/>
      <c r="Q386" s="1349"/>
      <c r="R386" s="1349"/>
      <c r="S386" s="1349"/>
      <c r="T386" s="1349"/>
      <c r="U386" s="1349"/>
      <c r="V386" s="3" t="s">
        <v>1182</v>
      </c>
      <c r="W386" s="8"/>
      <c r="X386" s="8"/>
      <c r="Y386" s="8"/>
      <c r="Z386" s="8"/>
      <c r="AA386" s="8"/>
      <c r="AB386" s="8"/>
      <c r="AC386" s="1374"/>
      <c r="AD386" s="1374"/>
      <c r="AE386" s="1374"/>
      <c r="AF386" s="1374"/>
      <c r="AG386" s="1374"/>
      <c r="AH386" s="1374"/>
      <c r="AI386" s="1374"/>
      <c r="AJ386" s="1374"/>
    </row>
    <row r="387" spans="4:36" ht="13" customHeight="1">
      <c r="D387" s="3" t="s">
        <v>441</v>
      </c>
      <c r="J387" s="1349" t="s">
        <v>2691</v>
      </c>
      <c r="K387" s="1349"/>
      <c r="L387" s="1349"/>
      <c r="M387" s="1349"/>
      <c r="N387" s="1349"/>
      <c r="O387" s="1349"/>
      <c r="P387" s="1349"/>
      <c r="Q387" s="1349"/>
      <c r="R387" s="1349"/>
      <c r="S387" s="1349"/>
      <c r="T387" s="1349"/>
      <c r="U387" s="1349"/>
      <c r="V387" s="3" t="s">
        <v>441</v>
      </c>
      <c r="W387" s="8"/>
      <c r="X387" s="8"/>
      <c r="Y387" s="8"/>
      <c r="Z387" s="8"/>
      <c r="AA387" s="8"/>
      <c r="AB387" s="8"/>
      <c r="AC387" s="1373" t="s">
        <v>2694</v>
      </c>
      <c r="AD387" s="1374"/>
      <c r="AE387" s="1374"/>
      <c r="AF387" s="1374"/>
      <c r="AG387" s="1374"/>
      <c r="AH387" s="1374"/>
      <c r="AI387" s="1374"/>
      <c r="AJ387" s="1374"/>
    </row>
    <row r="388" spans="4:36" ht="13" customHeight="1">
      <c r="D388" t="s">
        <v>1178</v>
      </c>
      <c r="J388" s="1405" t="s">
        <v>2692</v>
      </c>
      <c r="K388" s="1405"/>
      <c r="L388" s="1405"/>
      <c r="M388" s="1405"/>
      <c r="N388" s="1405"/>
      <c r="O388" s="1405"/>
      <c r="P388" s="1405"/>
      <c r="Q388" s="1405"/>
      <c r="R388" s="1405"/>
      <c r="S388" s="1405"/>
      <c r="T388" s="1405"/>
      <c r="U388" s="1405"/>
      <c r="V388" s="1374" t="s">
        <v>2693</v>
      </c>
      <c r="W388" s="1374"/>
      <c r="X388" s="1374"/>
      <c r="Y388" s="1374"/>
      <c r="Z388" s="1374"/>
      <c r="AA388" s="1374"/>
      <c r="AB388" s="1374"/>
      <c r="AC388" s="1374"/>
      <c r="AD388" s="1374"/>
      <c r="AE388" s="1374"/>
      <c r="AF388" s="1374"/>
      <c r="AG388" s="1374"/>
      <c r="AH388" s="1374"/>
      <c r="AI388" s="1374"/>
      <c r="AJ388" s="1374"/>
    </row>
    <row r="389" spans="4:36" ht="13" customHeight="1">
      <c r="D389" t="s">
        <v>4</v>
      </c>
      <c r="Q389" s="1753">
        <v>44495</v>
      </c>
      <c r="R389" s="1753"/>
      <c r="S389" s="1753"/>
      <c r="T389" s="1753"/>
      <c r="U389" s="1753"/>
      <c r="V389" t="s">
        <v>308</v>
      </c>
      <c r="AI389" s="1332" t="s">
        <v>669</v>
      </c>
      <c r="AJ389" s="1332"/>
    </row>
    <row r="390" spans="4:36" ht="13" customHeight="1">
      <c r="D390" t="s">
        <v>5</v>
      </c>
      <c r="Q390" s="1535">
        <v>44561</v>
      </c>
      <c r="R390" s="1822"/>
      <c r="S390" s="1822"/>
      <c r="T390" s="1822"/>
      <c r="U390" s="1822"/>
      <c r="W390" s="21" t="s">
        <v>74</v>
      </c>
      <c r="AG390" s="1831" t="s">
        <v>591</v>
      </c>
      <c r="AH390" s="1820"/>
      <c r="AI390" s="1820"/>
      <c r="AJ390" s="1820"/>
    </row>
    <row r="391" spans="4:36" ht="13" customHeight="1">
      <c r="D391" t="s">
        <v>426</v>
      </c>
      <c r="Q391" s="1832">
        <v>10500000</v>
      </c>
      <c r="R391" s="1832"/>
      <c r="S391" s="1832"/>
      <c r="T391" s="1832"/>
      <c r="U391" s="1832"/>
      <c r="V391" s="3" t="s">
        <v>1181</v>
      </c>
      <c r="AG391" s="1821">
        <v>44592</v>
      </c>
      <c r="AH391" s="1821"/>
      <c r="AI391" s="1821"/>
      <c r="AJ391" s="1821"/>
    </row>
    <row r="392" spans="4:36" ht="13" customHeight="1">
      <c r="D392" t="s">
        <v>88</v>
      </c>
      <c r="I392" s="1425"/>
      <c r="J392" s="1425"/>
      <c r="K392" s="1425"/>
      <c r="L392" s="1425"/>
      <c r="M392" s="1425"/>
      <c r="N392" s="1425"/>
      <c r="Q392" s="4" t="s">
        <v>205</v>
      </c>
      <c r="S392" s="1830"/>
      <c r="T392" s="1830"/>
      <c r="U392" s="1830"/>
      <c r="V392" t="s">
        <v>73</v>
      </c>
      <c r="AI392" s="1332" t="s">
        <v>669</v>
      </c>
      <c r="AJ392" s="1332"/>
    </row>
    <row r="393" spans="4:36" ht="13" customHeight="1">
      <c r="D393" t="s">
        <v>309</v>
      </c>
      <c r="Q393" s="1411">
        <f>AG393/40</f>
        <v>37486.199999999997</v>
      </c>
      <c r="R393" s="1411"/>
      <c r="S393" s="1411"/>
      <c r="T393" s="1411"/>
      <c r="U393" s="1411"/>
      <c r="V393" t="s">
        <v>310</v>
      </c>
      <c r="AG393" s="1820">
        <f>'Sources and Uses Budget'!C13</f>
        <v>1499448</v>
      </c>
      <c r="AH393" s="1820"/>
      <c r="AI393" s="1820"/>
      <c r="AJ393" s="1820"/>
    </row>
    <row r="394" spans="4:36" ht="13" customHeight="1">
      <c r="D394" t="s">
        <v>311</v>
      </c>
      <c r="Q394" s="1757">
        <v>1.0999999999999999E-2</v>
      </c>
      <c r="R394" s="1757"/>
      <c r="S394" s="1757"/>
      <c r="T394" s="1757"/>
      <c r="U394" s="1757"/>
      <c r="V394" t="s">
        <v>1163</v>
      </c>
      <c r="AG394" s="1820">
        <v>0</v>
      </c>
      <c r="AH394" s="1820"/>
      <c r="AI394" s="1820"/>
      <c r="AJ394" s="1820"/>
    </row>
    <row r="395" spans="4:36" ht="13" customHeight="1">
      <c r="D395" t="s">
        <v>1162</v>
      </c>
      <c r="AG395" s="1820">
        <v>0</v>
      </c>
      <c r="AH395" s="1820"/>
      <c r="AI395" s="1820"/>
      <c r="AJ395" s="1820"/>
    </row>
    <row r="396" spans="4:36" ht="13" customHeight="1">
      <c r="AG396" s="456"/>
      <c r="AH396" s="456"/>
      <c r="AI396" s="456"/>
      <c r="AJ396" s="456"/>
    </row>
    <row r="397" spans="4:36" ht="13" customHeight="1">
      <c r="D397" s="3" t="s">
        <v>2143</v>
      </c>
      <c r="AG397" s="456"/>
      <c r="AH397" s="456"/>
      <c r="AI397" s="1332" t="s">
        <v>669</v>
      </c>
      <c r="AJ397" s="1332"/>
    </row>
    <row r="398" spans="4:36" ht="13" customHeight="1">
      <c r="D398" s="3" t="s">
        <v>1667</v>
      </c>
      <c r="T398" s="1751" t="s">
        <v>591</v>
      </c>
      <c r="U398" s="1752"/>
      <c r="V398" s="1752"/>
      <c r="W398" s="1752"/>
      <c r="X398" s="1752"/>
      <c r="Y398" s="1752"/>
      <c r="Z398" s="1752"/>
      <c r="AA398" s="1752"/>
      <c r="AB398" s="1752"/>
      <c r="AC398" s="1752"/>
      <c r="AD398" s="1752"/>
      <c r="AE398" s="1752"/>
      <c r="AF398" s="1752"/>
      <c r="AG398" s="1752"/>
      <c r="AH398" s="1752"/>
      <c r="AI398" s="1752"/>
      <c r="AJ398" s="1752"/>
    </row>
    <row r="399" spans="4:36" ht="13" customHeight="1">
      <c r="D399" s="3" t="s">
        <v>1666</v>
      </c>
      <c r="T399" s="1751" t="s">
        <v>591</v>
      </c>
      <c r="U399" s="1752"/>
      <c r="V399" s="1752"/>
      <c r="W399" s="1752"/>
      <c r="X399" s="1752"/>
      <c r="Y399" s="1752"/>
      <c r="Z399" s="1752"/>
      <c r="AA399" s="1752"/>
      <c r="AB399" s="1752"/>
      <c r="AC399" s="1752"/>
      <c r="AD399" s="1752"/>
      <c r="AE399" s="1752"/>
      <c r="AF399" s="1752"/>
      <c r="AG399" s="1752"/>
      <c r="AH399" s="1752"/>
      <c r="AI399" s="1752"/>
      <c r="AJ399" s="1752"/>
    </row>
    <row r="400" spans="4:36" ht="13" customHeight="1">
      <c r="AG400" s="456"/>
      <c r="AH400" s="456"/>
      <c r="AI400" s="456"/>
      <c r="AJ400" s="456"/>
    </row>
    <row r="401" spans="1:36" ht="13" customHeight="1">
      <c r="D401" s="3" t="s">
        <v>1660</v>
      </c>
      <c r="S401" s="1752" t="s">
        <v>545</v>
      </c>
      <c r="T401" s="1752"/>
      <c r="U401" s="1752"/>
      <c r="V401" t="s">
        <v>1661</v>
      </c>
      <c r="AG401" s="1824">
        <v>55</v>
      </c>
      <c r="AH401" s="1824"/>
      <c r="AI401" s="1824"/>
      <c r="AJ401" s="1824"/>
    </row>
    <row r="402" spans="1:36" ht="13" customHeight="1">
      <c r="D402" s="3" t="s">
        <v>1658</v>
      </c>
      <c r="S402" s="1752" t="s">
        <v>545</v>
      </c>
      <c r="T402" s="1752"/>
      <c r="U402" s="1752"/>
      <c r="V402" t="s">
        <v>1663</v>
      </c>
      <c r="AE402" s="1819">
        <v>1</v>
      </c>
      <c r="AF402" s="1819"/>
      <c r="AG402" s="1819"/>
      <c r="AH402" s="1819"/>
      <c r="AI402" s="1819"/>
      <c r="AJ402" s="1819"/>
    </row>
    <row r="403" spans="1:36" ht="13"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1662</v>
      </c>
      <c r="K404" s="1800" t="s">
        <v>2695</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1665</v>
      </c>
      <c r="E405" s="477"/>
      <c r="F405" s="477"/>
      <c r="G405" s="477"/>
      <c r="H405" s="477"/>
      <c r="I405" s="477"/>
      <c r="J405" s="477"/>
      <c r="K405" s="477"/>
      <c r="L405" s="477"/>
      <c r="M405" s="477"/>
      <c r="N405" s="477"/>
      <c r="O405" s="477"/>
      <c r="P405" s="477"/>
      <c r="Q405" s="477"/>
      <c r="R405" s="477"/>
      <c r="S405" s="1829" t="s">
        <v>2696</v>
      </c>
      <c r="T405" s="1829"/>
      <c r="U405" s="1829"/>
      <c r="V405" s="1829"/>
      <c r="W405" s="1829"/>
      <c r="X405" s="1829"/>
      <c r="Y405" s="1829"/>
      <c r="Z405" s="1829"/>
      <c r="AA405" s="1829"/>
      <c r="AB405" s="1829"/>
      <c r="AC405" s="1829"/>
      <c r="AD405" s="1829"/>
      <c r="AE405" s="1829"/>
      <c r="AF405" s="1829"/>
      <c r="AG405" s="1829"/>
      <c r="AH405" s="1829"/>
      <c r="AI405" s="1829"/>
      <c r="AJ405" s="1829"/>
    </row>
    <row r="406" spans="1:36" ht="13"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373" t="s">
        <v>2697</v>
      </c>
      <c r="J410" s="1373"/>
      <c r="K410" s="1373"/>
      <c r="L410" s="1373"/>
      <c r="M410" s="1373"/>
      <c r="N410" s="1373"/>
      <c r="O410" s="1373"/>
      <c r="P410" s="1373"/>
      <c r="Q410" s="1373"/>
      <c r="R410" s="1373"/>
      <c r="S410" s="1373"/>
      <c r="T410" s="1373"/>
      <c r="U410" s="1373"/>
      <c r="V410" s="1373"/>
      <c r="W410" s="1373"/>
      <c r="X410" s="1373"/>
      <c r="Y410" s="1373"/>
      <c r="Z410" s="1373"/>
      <c r="AA410" s="1373"/>
      <c r="AB410" s="1373"/>
      <c r="AC410" s="1373"/>
      <c r="AD410" s="1373"/>
      <c r="AE410" s="1373"/>
    </row>
    <row r="411" spans="1:36" ht="13" customHeight="1">
      <c r="E411" t="s">
        <v>106</v>
      </c>
      <c r="R411" s="1332" t="s">
        <v>545</v>
      </c>
      <c r="S411" s="1332"/>
      <c r="AC411" s="27" t="s">
        <v>570</v>
      </c>
      <c r="AD411" s="1664">
        <v>5</v>
      </c>
      <c r="AE411" s="1664"/>
    </row>
    <row r="412" spans="1:36" ht="13" customHeight="1">
      <c r="E412" t="s">
        <v>107</v>
      </c>
      <c r="R412" s="1332" t="s">
        <v>591</v>
      </c>
      <c r="S412" s="1332"/>
      <c r="AC412" s="27" t="s">
        <v>570</v>
      </c>
      <c r="AD412" s="1664"/>
      <c r="AE412" s="1664"/>
    </row>
    <row r="413" spans="1:36" ht="13" customHeight="1">
      <c r="E413" t="s">
        <v>108</v>
      </c>
      <c r="S413" s="1332" t="s">
        <v>591</v>
      </c>
      <c r="T413" s="1332"/>
    </row>
    <row r="414" spans="1:36" ht="13" customHeight="1">
      <c r="E414" t="s">
        <v>169</v>
      </c>
      <c r="H414" s="1758" t="s">
        <v>2747</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3"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3" customHeight="1"/>
    <row r="417" spans="1:39" ht="13" customHeight="1">
      <c r="A417" s="2" t="s">
        <v>590</v>
      </c>
      <c r="B417" s="2"/>
      <c r="C417" s="2"/>
      <c r="D417" s="2" t="s">
        <v>114</v>
      </c>
      <c r="AF417" s="2" t="s">
        <v>957</v>
      </c>
    </row>
    <row r="418" spans="1:39" ht="13" customHeight="1">
      <c r="E418" s="1818"/>
      <c r="F418" s="1818"/>
      <c r="G418" s="1818"/>
      <c r="H418" s="13" t="s">
        <v>115</v>
      </c>
      <c r="I418" s="1818"/>
      <c r="J418" s="1818"/>
      <c r="K418" s="1818"/>
      <c r="L418" t="s">
        <v>116</v>
      </c>
      <c r="N418" s="27" t="s">
        <v>575</v>
      </c>
      <c r="P418" s="1761">
        <v>1.1399999999999999</v>
      </c>
      <c r="Q418" s="1761"/>
      <c r="R418" s="1761"/>
      <c r="S418" t="s">
        <v>117</v>
      </c>
      <c r="W418" s="1828">
        <f>IF(E418&gt;0,(E418*I418),(P418*43560))</f>
        <v>49658.399999999994</v>
      </c>
      <c r="X418" s="1828"/>
      <c r="Y418" s="1828"/>
      <c r="Z418" t="s">
        <v>118</v>
      </c>
      <c r="AF418" s="1762">
        <f>IFERROR(IF(P418&gt;0,(AG437/P418),(AG437/(W418/43560))),0)</f>
        <v>114.03508771929826</v>
      </c>
      <c r="AG418" s="1762"/>
      <c r="AH418" s="1762"/>
      <c r="AM418" s="3"/>
    </row>
    <row r="419" spans="1:39" ht="13" customHeight="1">
      <c r="E419" t="s">
        <v>51</v>
      </c>
    </row>
    <row r="420" spans="1:39" ht="13"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3" customHeight="1">
      <c r="E421" s="118" t="s">
        <v>1736</v>
      </c>
      <c r="F421" s="1013"/>
      <c r="G421" s="1013"/>
      <c r="H421" s="1013"/>
      <c r="I421" s="1760">
        <v>1.1399999999999999</v>
      </c>
      <c r="J421" s="1760"/>
      <c r="K421" s="1760"/>
      <c r="L421" s="1013"/>
      <c r="M421" s="118"/>
      <c r="N421" s="1013"/>
      <c r="O421" s="1013"/>
      <c r="P421" s="1442">
        <f>(DU755+DU778+DU800)/I421</f>
        <v>200.87719298245617</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2">
        <v>1</v>
      </c>
      <c r="Q424" s="1332"/>
      <c r="S424" t="s">
        <v>188</v>
      </c>
      <c r="AE424" s="1332">
        <v>1</v>
      </c>
      <c r="AF424" s="1332"/>
    </row>
    <row r="425" spans="1:39" ht="13" customHeight="1">
      <c r="E425" t="s">
        <v>189</v>
      </c>
      <c r="P425" s="1332">
        <v>0</v>
      </c>
      <c r="Q425" s="1332"/>
      <c r="S425" t="s">
        <v>131</v>
      </c>
      <c r="AE425" s="1332" t="s">
        <v>591</v>
      </c>
      <c r="AF425" s="1332"/>
    </row>
    <row r="426" spans="1:39" ht="13" customHeight="1">
      <c r="F426" s="28" t="s">
        <v>132</v>
      </c>
    </row>
    <row r="427" spans="1:39" ht="13" customHeight="1">
      <c r="F427" s="1805"/>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3" customHeight="1">
      <c r="E429" t="s">
        <v>608</v>
      </c>
      <c r="P429" s="1"/>
      <c r="Q429" s="1332" t="s">
        <v>545</v>
      </c>
      <c r="R429" s="1332"/>
    </row>
    <row r="430" spans="1:39" ht="13" customHeight="1">
      <c r="F430" t="s">
        <v>609</v>
      </c>
      <c r="P430" s="1"/>
      <c r="Q430" s="1"/>
      <c r="AF430" s="1332" t="s">
        <v>591</v>
      </c>
      <c r="AG430" s="1826"/>
    </row>
    <row r="431" spans="1:39" ht="13" customHeight="1"/>
    <row r="432" spans="1:39" ht="13" customHeight="1">
      <c r="A432" s="2"/>
      <c r="B432" s="2"/>
      <c r="C432" s="2"/>
      <c r="E432" s="4" t="s">
        <v>307</v>
      </c>
      <c r="Z432" s="1332" t="s">
        <v>669</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3" customHeight="1"/>
    <row r="436" spans="1:55" ht="13" customHeight="1">
      <c r="A436" s="2" t="s">
        <v>467</v>
      </c>
      <c r="B436" s="2"/>
      <c r="C436" s="2"/>
      <c r="D436" s="2" t="s">
        <v>764</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3"/>
      <c r="AG437" s="1823">
        <v>130</v>
      </c>
      <c r="AH437" s="1823"/>
      <c r="AI437" s="1823"/>
      <c r="AJ437" s="1823"/>
    </row>
    <row r="438" spans="1:55" ht="13"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7">
        <v>0</v>
      </c>
      <c r="AH438" s="1614"/>
      <c r="AI438" s="1614"/>
      <c r="AJ438" s="1614"/>
    </row>
    <row r="439" spans="1:55" ht="13"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3">
        <v>128</v>
      </c>
      <c r="AH439" s="1823"/>
      <c r="AI439" s="1823"/>
      <c r="AJ439" s="1823"/>
    </row>
    <row r="440" spans="1:55" ht="13"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3">
        <v>128</v>
      </c>
      <c r="AH440" s="1823"/>
      <c r="AI440" s="1823"/>
      <c r="AJ440" s="1823"/>
    </row>
    <row r="441" spans="1:55" ht="13"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9">
        <f>IF(ISERROR(AG440/AG439),0,AG440/AG439)</f>
        <v>1</v>
      </c>
      <c r="AH441" s="1809"/>
      <c r="AI441" s="1809"/>
      <c r="AJ441" s="1809"/>
    </row>
    <row r="442" spans="1:55" ht="13"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v>86400</v>
      </c>
      <c r="AH442" s="1696"/>
      <c r="AI442" s="1696"/>
      <c r="AJ442" s="1696"/>
    </row>
    <row r="443" spans="1:55" ht="13"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v>86400</v>
      </c>
      <c r="AH443" s="1696"/>
      <c r="AI443" s="1696"/>
      <c r="AJ443" s="1696"/>
    </row>
    <row r="444" spans="1:55" ht="13"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9">
        <f>IF(ISERROR(AG443/AG442),0,AG443/AG442)</f>
        <v>1</v>
      </c>
      <c r="AH444" s="1809"/>
      <c r="AI444" s="1809"/>
      <c r="AJ444" s="1809"/>
    </row>
    <row r="445" spans="1:55" ht="13"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9">
        <f>MIN(IF(AG441&gt;AG444,AG444,AG441),1)</f>
        <v>1</v>
      </c>
      <c r="AH445" s="1809"/>
      <c r="AI445" s="1809"/>
      <c r="AJ445" s="1809"/>
    </row>
    <row r="446" spans="1:55" ht="13" customHeight="1">
      <c r="D446" s="1744"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3"/>
      <c r="AG446" s="1696">
        <v>6985</v>
      </c>
      <c r="AH446" s="1696"/>
      <c r="AI446" s="1696"/>
      <c r="AJ446" s="1696"/>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3"/>
      <c r="AG447" s="1696">
        <v>0</v>
      </c>
      <c r="AH447" s="1696"/>
      <c r="AI447" s="1696"/>
      <c r="AJ447" s="1696"/>
      <c r="AZ447" s="3"/>
      <c r="BA447" s="3"/>
      <c r="BB447" s="3"/>
      <c r="BC447" s="3"/>
    </row>
    <row r="448" spans="1:55" ht="13" customHeight="1">
      <c r="D448" s="1744"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3"/>
      <c r="AG448" s="1696">
        <v>130200</v>
      </c>
      <c r="AH448" s="1696"/>
      <c r="AI448" s="1696"/>
      <c r="AJ448" s="1696"/>
      <c r="AZ448" s="3"/>
      <c r="BA448" s="3"/>
      <c r="BB448" s="3"/>
      <c r="BC448" s="3"/>
    </row>
    <row r="449" spans="1:55" ht="13" customHeight="1">
      <c r="D449" s="1744"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3"/>
      <c r="AG449" s="1696">
        <v>20000</v>
      </c>
      <c r="AH449" s="1696"/>
      <c r="AI449" s="1696"/>
      <c r="AJ449" s="1696"/>
      <c r="BB449" s="3"/>
      <c r="BC449" s="3"/>
    </row>
    <row r="450" spans="1:55" ht="13"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8">
        <f>AG442+AG446+AG448+AG449</f>
        <v>243585</v>
      </c>
      <c r="AH450" s="1848"/>
      <c r="AI450" s="1848"/>
      <c r="AJ450" s="1848"/>
      <c r="AZ450" s="3"/>
      <c r="BA450" s="3"/>
      <c r="BB450" s="3"/>
      <c r="BC450" s="3"/>
    </row>
    <row r="451" spans="1:55" ht="13"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3"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861842.31538461533</v>
      </c>
      <c r="AD454" s="1815"/>
      <c r="AE454" s="1815"/>
      <c r="AF454" s="181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861842.31538461533</v>
      </c>
      <c r="AD455" s="1815"/>
      <c r="AE455" s="1815"/>
      <c r="AF455" s="181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776420.58461538458</v>
      </c>
      <c r="AD456" s="1815"/>
      <c r="AE456" s="1815"/>
      <c r="AF456" s="1815"/>
      <c r="AG456" s="177"/>
      <c r="AH456" s="177"/>
      <c r="AI456" s="177"/>
      <c r="AJ456" s="183"/>
      <c r="AZ456" s="3"/>
      <c r="BA456" s="3"/>
      <c r="BB456" s="3"/>
      <c r="BC456" s="3"/>
    </row>
    <row r="457" spans="1:55" ht="13" customHeight="1">
      <c r="D457" s="177"/>
      <c r="E457" s="177"/>
      <c r="F457" s="173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3"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6">
        <v>32</v>
      </c>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6">
        <v>0</v>
      </c>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6">
        <v>0</v>
      </c>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6">
        <v>0</v>
      </c>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6">
        <v>0</v>
      </c>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4" t="s">
        <v>2191</v>
      </c>
      <c r="E472" s="1852"/>
      <c r="F472" s="1852"/>
      <c r="G472" s="1852"/>
      <c r="H472" s="1852"/>
      <c r="I472" s="1852"/>
      <c r="J472" s="1852"/>
      <c r="K472" s="1852"/>
      <c r="L472" s="1852"/>
      <c r="M472" s="1852"/>
      <c r="N472" s="1852"/>
      <c r="O472" s="1852"/>
      <c r="P472" s="1852"/>
      <c r="Q472" s="1852"/>
      <c r="R472" s="1852"/>
      <c r="S472" s="1852"/>
      <c r="T472" s="1852"/>
      <c r="U472" s="1852"/>
      <c r="V472" s="1853"/>
      <c r="W472" s="1666">
        <v>0</v>
      </c>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6">
        <v>25</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No</v>
      </c>
      <c r="BB479" s="3"/>
      <c r="BC479" s="3"/>
    </row>
    <row r="480" spans="1:55" ht="13"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3"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3" customHeight="1">
      <c r="B486" s="45" t="s">
        <v>393</v>
      </c>
      <c r="C486" s="5"/>
      <c r="D486" s="5"/>
      <c r="E486" s="5"/>
      <c r="F486" s="5"/>
      <c r="G486" s="5"/>
      <c r="H486" s="5"/>
      <c r="I486" s="5"/>
      <c r="J486" s="5"/>
      <c r="K486" s="5"/>
      <c r="L486" s="5"/>
      <c r="M486" s="5"/>
      <c r="N486" s="5"/>
      <c r="O486" s="5"/>
      <c r="P486" s="5"/>
      <c r="Q486" s="1578" t="s">
        <v>2640</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78" t="s">
        <v>2641</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78" t="s">
        <v>2642</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3" customHeight="1">
      <c r="B489" s="1836" t="s">
        <v>396</v>
      </c>
      <c r="C489" s="1837"/>
      <c r="D489" s="1837"/>
      <c r="E489" s="1837"/>
      <c r="F489" s="1837"/>
      <c r="G489" s="1837"/>
      <c r="H489" s="1837"/>
      <c r="I489" s="1837"/>
      <c r="J489" s="1837"/>
      <c r="K489" s="1837"/>
      <c r="L489" s="1837"/>
      <c r="M489" s="1837"/>
      <c r="N489" s="1837"/>
      <c r="O489" s="1837"/>
      <c r="P489" s="1838"/>
      <c r="Q489" s="1842" t="s">
        <v>545</v>
      </c>
      <c r="R489" s="1843"/>
      <c r="S489" s="1772" t="s">
        <v>2643</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3" customHeight="1">
      <c r="B490" s="1839"/>
      <c r="C490" s="1840"/>
      <c r="D490" s="1840"/>
      <c r="E490" s="1840"/>
      <c r="F490" s="1840"/>
      <c r="G490" s="1840"/>
      <c r="H490" s="1840"/>
      <c r="I490" s="1840"/>
      <c r="J490" s="1840"/>
      <c r="K490" s="1840"/>
      <c r="L490" s="1840"/>
      <c r="M490" s="1840"/>
      <c r="N490" s="1840"/>
      <c r="O490" s="1840"/>
      <c r="P490" s="1841"/>
      <c r="Q490" s="1844"/>
      <c r="R490" s="1845"/>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849" t="s">
        <v>669</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2644</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v>0</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3" customHeight="1">
      <c r="B494" s="121" t="s">
        <v>1668</v>
      </c>
      <c r="C494" s="5"/>
      <c r="D494" s="5"/>
      <c r="E494" s="5"/>
      <c r="F494" s="5"/>
      <c r="G494" s="5"/>
      <c r="H494" s="5"/>
      <c r="I494" s="5"/>
      <c r="J494" s="5"/>
      <c r="K494" s="5"/>
      <c r="L494" s="5"/>
      <c r="M494" s="5"/>
      <c r="N494" s="5"/>
      <c r="O494" s="5"/>
      <c r="P494" s="5"/>
      <c r="Q494" s="1578">
        <v>103</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3" customHeight="1">
      <c r="B495" s="121" t="s">
        <v>1669</v>
      </c>
      <c r="C495" s="5"/>
      <c r="D495" s="5"/>
      <c r="E495" s="5"/>
      <c r="F495" s="5"/>
      <c r="G495" s="5"/>
      <c r="H495" s="5"/>
      <c r="I495" s="5"/>
      <c r="J495" s="5"/>
      <c r="K495" s="5"/>
      <c r="L495" s="5"/>
      <c r="M495" s="1447">
        <v>103</v>
      </c>
      <c r="N495" s="1448"/>
      <c r="O495" s="1448"/>
      <c r="P495" s="1449"/>
      <c r="Q495" s="121" t="s">
        <v>1670</v>
      </c>
      <c r="R495" s="5"/>
      <c r="S495" s="5"/>
      <c r="T495" s="5"/>
      <c r="U495" s="5"/>
      <c r="V495" s="5"/>
      <c r="W495" s="5"/>
      <c r="X495" s="5"/>
      <c r="Y495" s="5"/>
      <c r="Z495" s="5"/>
      <c r="AA495" s="5"/>
      <c r="AB495" s="5"/>
      <c r="AC495" s="5"/>
      <c r="AD495" s="5"/>
      <c r="AE495" s="5"/>
      <c r="AF495" s="5"/>
      <c r="AG495" s="5"/>
      <c r="AH495" s="1447"/>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v>8</v>
      </c>
      <c r="AD501" s="1664"/>
      <c r="AE501" s="1664"/>
      <c r="AF501" s="1664"/>
      <c r="AG501" s="13" t="s">
        <v>402</v>
      </c>
      <c r="AH501" s="1405">
        <v>2025</v>
      </c>
      <c r="AI501" s="1405"/>
      <c r="AJ501" s="1405"/>
      <c r="AK501" s="1406"/>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2</v>
      </c>
      <c r="AD502" s="1664"/>
      <c r="AE502" s="1664"/>
      <c r="AF502" s="1664"/>
      <c r="AG502" s="38" t="s">
        <v>402</v>
      </c>
      <c r="AH502" s="1405">
        <v>2022</v>
      </c>
      <c r="AI502" s="1405"/>
      <c r="AJ502" s="1405"/>
      <c r="AK502" s="1406"/>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591</v>
      </c>
      <c r="AD503" s="1664"/>
      <c r="AE503" s="1664"/>
      <c r="AF503" s="1664"/>
      <c r="AG503" s="13" t="s">
        <v>402</v>
      </c>
      <c r="AH503" s="1405"/>
      <c r="AI503" s="1405"/>
      <c r="AJ503" s="1405"/>
      <c r="AK503" s="1406"/>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5"/>
      <c r="AI504" s="1405"/>
      <c r="AJ504" s="1405"/>
      <c r="AK504" s="1406"/>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v>12</v>
      </c>
      <c r="AD505" s="1664"/>
      <c r="AE505" s="1664"/>
      <c r="AF505" s="1664"/>
      <c r="AG505" s="13" t="s">
        <v>402</v>
      </c>
      <c r="AH505" s="1405">
        <v>2024</v>
      </c>
      <c r="AI505" s="1405"/>
      <c r="AJ505" s="1405"/>
      <c r="AK505" s="1406"/>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11</v>
      </c>
      <c r="AD506" s="1664"/>
      <c r="AE506" s="1664"/>
      <c r="AF506" s="1664"/>
      <c r="AG506" s="13" t="s">
        <v>402</v>
      </c>
      <c r="AH506" s="1405">
        <v>2025</v>
      </c>
      <c r="AI506" s="1405"/>
      <c r="AJ506" s="1405"/>
      <c r="AK506" s="1406"/>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7">
        <v>11</v>
      </c>
      <c r="AD507" s="1338"/>
      <c r="AE507" s="1338"/>
      <c r="AF507" s="1338"/>
      <c r="AG507" s="13" t="s">
        <v>402</v>
      </c>
      <c r="AH507" s="1405">
        <v>2025</v>
      </c>
      <c r="AI507" s="1405"/>
      <c r="AJ507" s="1405"/>
      <c r="AK507" s="1406"/>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1" t="s">
        <v>333</v>
      </c>
      <c r="M508" s="1752"/>
      <c r="N508" s="1752"/>
      <c r="O508" s="1752"/>
      <c r="P508" s="1752"/>
      <c r="Q508" s="1752"/>
      <c r="R508" s="1752"/>
      <c r="S508" s="1752"/>
      <c r="T508" s="1752"/>
      <c r="U508" s="1752"/>
      <c r="V508" s="1752"/>
      <c r="W508" s="1752"/>
      <c r="X508" s="1752"/>
      <c r="Y508" s="1752"/>
      <c r="Z508" s="1752"/>
      <c r="AA508" s="1752"/>
      <c r="AB508" s="1847"/>
      <c r="AC508" s="1663" t="s">
        <v>591</v>
      </c>
      <c r="AD508" s="1664"/>
      <c r="AE508" s="1664"/>
      <c r="AF508" s="1664"/>
      <c r="AG508" s="38" t="s">
        <v>402</v>
      </c>
      <c r="AH508" s="1405"/>
      <c r="AI508" s="1405"/>
      <c r="AJ508" s="1405"/>
      <c r="AK508" s="1406"/>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823" t="s">
        <v>545</v>
      </c>
      <c r="AD509" s="1823"/>
      <c r="AE509" s="1823"/>
      <c r="AF509" s="1823"/>
      <c r="AG509" s="13"/>
      <c r="AH509" s="1335"/>
      <c r="AI509" s="1335"/>
      <c r="AJ509" s="1335"/>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37">
        <v>2</v>
      </c>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3">
        <v>0.75</v>
      </c>
      <c r="AD512" s="1834"/>
      <c r="AE512" s="1834"/>
      <c r="AF512" s="1835"/>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6"/>
      <c r="AZ513" s="3"/>
      <c r="BA513" s="3"/>
      <c r="BB513" s="3"/>
      <c r="BC513" s="3"/>
      <c r="BD513" s="3"/>
      <c r="BE513" s="3"/>
      <c r="BF513" s="3"/>
      <c r="BG513" s="3"/>
      <c r="BH513" s="3"/>
      <c r="BI513" s="3"/>
      <c r="BJ513" s="3"/>
      <c r="BK513" s="3"/>
      <c r="BL513" s="3"/>
      <c r="BM513" s="3"/>
      <c r="BN513" s="3" t="s">
        <v>2105</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v>5</v>
      </c>
      <c r="AD514" s="1664"/>
      <c r="AE514" s="1664"/>
      <c r="AF514" s="1664"/>
      <c r="AG514" s="13" t="s">
        <v>402</v>
      </c>
      <c r="AH514" s="1405">
        <v>2025</v>
      </c>
      <c r="AI514" s="1405"/>
      <c r="AJ514" s="1405"/>
      <c r="AK514" s="1406"/>
      <c r="AZ514" s="3"/>
      <c r="BA514" s="3"/>
      <c r="BB514" s="3"/>
      <c r="BC514" s="3"/>
      <c r="BD514" s="3"/>
      <c r="BE514" s="3"/>
      <c r="BF514" s="3"/>
      <c r="BG514" s="3"/>
      <c r="BH514" s="3"/>
      <c r="BI514" s="3"/>
      <c r="BJ514" s="3"/>
      <c r="BK514" s="3"/>
      <c r="BL514" s="3"/>
      <c r="BM514" s="3"/>
      <c r="BN514" s="3" t="s">
        <v>2106</v>
      </c>
    </row>
    <row r="515" spans="2:66" ht="13" customHeight="1">
      <c r="B515" s="1674"/>
      <c r="C515" s="1434"/>
      <c r="D515" s="1434"/>
      <c r="E515" s="1434"/>
      <c r="F515" s="1434"/>
      <c r="G515" s="1434"/>
      <c r="H515" s="1435"/>
      <c r="I515" t="s">
        <v>415</v>
      </c>
      <c r="AC515" s="1663">
        <v>5</v>
      </c>
      <c r="AD515" s="1664"/>
      <c r="AE515" s="1664"/>
      <c r="AF515" s="1664"/>
      <c r="AG515" s="13" t="s">
        <v>402</v>
      </c>
      <c r="AH515" s="1405">
        <v>2025</v>
      </c>
      <c r="AI515" s="1405"/>
      <c r="AJ515" s="1405"/>
      <c r="AK515" s="1406"/>
      <c r="AZ515" s="3"/>
      <c r="BA515" s="3"/>
      <c r="BB515" s="3"/>
      <c r="BC515" s="3"/>
      <c r="BD515" s="3"/>
      <c r="BE515" s="3"/>
      <c r="BF515" s="3"/>
      <c r="BG515" s="3"/>
      <c r="BH515" s="3"/>
      <c r="BI515" s="3"/>
      <c r="BJ515" s="3"/>
      <c r="BK515" s="3"/>
      <c r="BL515" s="3"/>
      <c r="BM515" s="3"/>
      <c r="BN515" s="3" t="s">
        <v>2107</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402</v>
      </c>
      <c r="AH516" s="1405">
        <v>2025</v>
      </c>
      <c r="AI516" s="1405"/>
      <c r="AJ516" s="1405"/>
      <c r="AK516" s="1406"/>
      <c r="AZ516" s="3"/>
      <c r="BA516" s="3"/>
      <c r="BB516" s="3"/>
      <c r="BC516" s="3"/>
      <c r="BD516" s="3"/>
      <c r="BE516" s="3"/>
      <c r="BF516" s="3"/>
      <c r="BG516" s="3"/>
      <c r="BH516" s="3"/>
      <c r="BI516" s="3"/>
      <c r="BJ516" s="3"/>
      <c r="BK516" s="3"/>
      <c r="BL516" s="3"/>
      <c r="BM516" s="3"/>
      <c r="BN516" s="3" t="s">
        <v>2108</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402</v>
      </c>
      <c r="AH517" s="1405">
        <v>2025</v>
      </c>
      <c r="AI517" s="1405"/>
      <c r="AJ517" s="1405"/>
      <c r="AK517" s="1406"/>
      <c r="AZ517" s="3"/>
      <c r="BB517" s="3"/>
      <c r="BC517" s="3"/>
      <c r="BD517" s="3"/>
      <c r="BE517" s="3"/>
      <c r="BF517" s="3"/>
      <c r="BG517" s="3"/>
      <c r="BH517" s="3"/>
      <c r="BI517" s="3"/>
      <c r="BJ517" s="3"/>
      <c r="BK517" s="3"/>
      <c r="BL517" s="3"/>
      <c r="BM517" s="3"/>
      <c r="BN517" s="3" t="s">
        <v>2109</v>
      </c>
    </row>
    <row r="518" spans="2:66" ht="13" customHeight="1">
      <c r="B518" s="1674"/>
      <c r="C518" s="1434"/>
      <c r="D518" s="1434"/>
      <c r="E518" s="1434"/>
      <c r="F518" s="1434"/>
      <c r="G518" s="1434"/>
      <c r="H518" s="1435"/>
      <c r="I518" t="s">
        <v>415</v>
      </c>
      <c r="AC518" s="1663">
        <v>5</v>
      </c>
      <c r="AD518" s="1664"/>
      <c r="AE518" s="1664"/>
      <c r="AF518" s="1664"/>
      <c r="AG518" s="13" t="s">
        <v>402</v>
      </c>
      <c r="AH518" s="1405">
        <v>2025</v>
      </c>
      <c r="AI518" s="1405"/>
      <c r="AJ518" s="1405"/>
      <c r="AK518" s="1406"/>
      <c r="BB518" s="3"/>
      <c r="BC518" s="3"/>
      <c r="BD518" s="3"/>
      <c r="BE518" s="3"/>
      <c r="BF518" s="3"/>
      <c r="BG518" s="3"/>
      <c r="BH518" s="3"/>
      <c r="BI518" s="3"/>
      <c r="BJ518" s="3"/>
      <c r="BK518" s="3"/>
      <c r="BL518" s="3"/>
      <c r="BM518" s="3"/>
      <c r="BN518" s="3" t="s">
        <v>2110</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12</v>
      </c>
      <c r="AD519" s="1664"/>
      <c r="AE519" s="1664"/>
      <c r="AF519" s="1664"/>
      <c r="AG519" s="38" t="s">
        <v>402</v>
      </c>
      <c r="AH519" s="1405">
        <v>2025</v>
      </c>
      <c r="AI519" s="1405"/>
      <c r="AJ519" s="1405"/>
      <c r="AK519" s="1406"/>
      <c r="BB519" s="3"/>
      <c r="BC519" s="3"/>
      <c r="BD519" s="3"/>
      <c r="BE519" s="3"/>
      <c r="BF519" s="3"/>
      <c r="BG519" s="3"/>
      <c r="BH519" s="3"/>
      <c r="BI519" s="3"/>
      <c r="BJ519" s="3"/>
      <c r="BK519" s="3"/>
      <c r="BL519" s="3"/>
      <c r="BM519" s="3"/>
      <c r="BN519" s="3" t="s">
        <v>2111</v>
      </c>
    </row>
    <row r="520" spans="2:66" ht="13" customHeight="1">
      <c r="B520" s="1673" t="s">
        <v>418</v>
      </c>
      <c r="C520" s="1432"/>
      <c r="D520" s="1432"/>
      <c r="E520" s="1432"/>
      <c r="F520" s="1432"/>
      <c r="G520" s="1432"/>
      <c r="H520" s="1433"/>
      <c r="I520" s="41" t="s">
        <v>419</v>
      </c>
      <c r="J520" s="42"/>
      <c r="K520" s="42"/>
      <c r="L520" s="42"/>
      <c r="M520" s="42"/>
      <c r="N520" s="42"/>
      <c r="O520" s="1751" t="s">
        <v>2695</v>
      </c>
      <c r="P520" s="1752"/>
      <c r="Q520" s="1752"/>
      <c r="R520" s="1752"/>
      <c r="S520" s="1752"/>
      <c r="T520" s="1752"/>
      <c r="U520" s="1752"/>
      <c r="V520" s="1752"/>
      <c r="W520" s="1752"/>
      <c r="X520" s="1752"/>
      <c r="Y520" s="1752"/>
      <c r="Z520" s="1752"/>
      <c r="AA520" s="1752"/>
      <c r="AB520" s="58"/>
      <c r="AC520" s="1337" t="s">
        <v>591</v>
      </c>
      <c r="AD520" s="1338"/>
      <c r="AE520" s="1338"/>
      <c r="AF520" s="1338"/>
      <c r="AG520" s="129" t="s">
        <v>402</v>
      </c>
      <c r="AH520" s="1405"/>
      <c r="AI520" s="1405"/>
      <c r="AJ520" s="1405"/>
      <c r="AK520" s="1406"/>
      <c r="AZ520" s="3"/>
      <c r="BB520" s="3"/>
      <c r="BC520" s="3"/>
      <c r="BD520" s="3"/>
      <c r="BE520" s="3"/>
      <c r="BF520" s="3"/>
      <c r="BG520" s="3"/>
      <c r="BH520" s="3"/>
      <c r="BI520" s="3"/>
      <c r="BJ520" s="3"/>
      <c r="BK520" s="3"/>
      <c r="BL520" s="3"/>
      <c r="BM520" s="3"/>
      <c r="BN520" s="3" t="s">
        <v>2112</v>
      </c>
    </row>
    <row r="521" spans="2:66" ht="13" customHeight="1">
      <c r="B521" s="1674"/>
      <c r="C521" s="1434"/>
      <c r="D521" s="1434"/>
      <c r="E521" s="1434"/>
      <c r="F521" s="1434"/>
      <c r="G521" s="1434"/>
      <c r="H521" s="1435"/>
      <c r="I521" s="114" t="s">
        <v>420</v>
      </c>
      <c r="AB521" s="65"/>
      <c r="AC521" s="1663">
        <v>9</v>
      </c>
      <c r="AD521" s="1664"/>
      <c r="AE521" s="1664"/>
      <c r="AF521" s="1664"/>
      <c r="AG521" s="13" t="s">
        <v>402</v>
      </c>
      <c r="AH521" s="1405">
        <v>2023</v>
      </c>
      <c r="AI521" s="1405"/>
      <c r="AJ521" s="1405"/>
      <c r="AK521" s="1406"/>
      <c r="AZ521" s="3"/>
      <c r="BB521" s="3"/>
      <c r="BC521" s="3"/>
      <c r="BD521" s="3"/>
      <c r="BE521" s="3"/>
      <c r="BF521" s="3"/>
      <c r="BG521" s="3"/>
      <c r="BH521" s="3"/>
      <c r="BI521" s="3"/>
      <c r="BJ521" s="3"/>
      <c r="BK521" s="3"/>
      <c r="BL521" s="3"/>
      <c r="BM521" s="3"/>
      <c r="BN521" s="3" t="s">
        <v>2113</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v>12</v>
      </c>
      <c r="AD522" s="1664"/>
      <c r="AE522" s="1664"/>
      <c r="AF522" s="1664"/>
      <c r="AG522" s="38" t="s">
        <v>402</v>
      </c>
      <c r="AH522" s="1405">
        <v>2023</v>
      </c>
      <c r="AI522" s="1405"/>
      <c r="AJ522" s="1405"/>
      <c r="AK522" s="1406"/>
      <c r="AZ522" s="3"/>
      <c r="BA522" s="3"/>
      <c r="BB522" s="3"/>
      <c r="BC522" s="3"/>
      <c r="BD522" s="3"/>
      <c r="BE522" s="3"/>
      <c r="BF522" s="3"/>
      <c r="BG522" s="3"/>
      <c r="BH522" s="3"/>
      <c r="BI522" s="3"/>
      <c r="BJ522" s="3"/>
      <c r="BK522" s="3"/>
      <c r="BL522" s="3"/>
      <c r="BM522" s="3"/>
      <c r="BN522" s="3" t="s">
        <v>2114</v>
      </c>
    </row>
    <row r="523" spans="2:66" ht="13" customHeight="1">
      <c r="B523" s="1674"/>
      <c r="C523" s="1434"/>
      <c r="D523" s="1434"/>
      <c r="E523" s="1434"/>
      <c r="F523" s="1434"/>
      <c r="G523" s="1434"/>
      <c r="H523" s="1435"/>
      <c r="I523" s="42" t="s">
        <v>422</v>
      </c>
      <c r="J523" s="42"/>
      <c r="K523" s="42"/>
      <c r="L523" s="42"/>
      <c r="M523" s="42"/>
      <c r="N523" s="42"/>
      <c r="O523" s="1751" t="s">
        <v>2613</v>
      </c>
      <c r="P523" s="1752"/>
      <c r="Q523" s="1752"/>
      <c r="R523" s="1752"/>
      <c r="S523" s="1752"/>
      <c r="T523" s="1752"/>
      <c r="U523" s="1752"/>
      <c r="V523" s="1752"/>
      <c r="W523" s="1752"/>
      <c r="X523" s="1752"/>
      <c r="Y523" s="1752"/>
      <c r="Z523" s="1752"/>
      <c r="AA523" s="1752"/>
      <c r="AC523" s="1663" t="s">
        <v>591</v>
      </c>
      <c r="AD523" s="1664"/>
      <c r="AE523" s="1664"/>
      <c r="AF523" s="1664"/>
      <c r="AG523" s="13" t="s">
        <v>402</v>
      </c>
      <c r="AH523" s="1405"/>
      <c r="AI523" s="1405"/>
      <c r="AJ523" s="1405"/>
      <c r="AK523" s="1406"/>
      <c r="AZ523" s="3"/>
      <c r="BA523" s="3"/>
      <c r="BB523" s="3"/>
      <c r="BC523" s="3"/>
      <c r="BD523" s="3"/>
      <c r="BE523" s="3"/>
      <c r="BF523" s="3"/>
      <c r="BG523" s="3"/>
      <c r="BH523" s="3"/>
      <c r="BI523" s="3"/>
      <c r="BJ523" s="3"/>
      <c r="BK523" s="3"/>
      <c r="BL523" s="3"/>
      <c r="BM523" s="3"/>
      <c r="BN523" s="3" t="s">
        <v>2115</v>
      </c>
    </row>
    <row r="524" spans="2:66" ht="13" customHeight="1">
      <c r="B524" s="1674"/>
      <c r="C524" s="1434"/>
      <c r="D524" s="1434"/>
      <c r="E524" s="1434"/>
      <c r="F524" s="1434"/>
      <c r="G524" s="1434"/>
      <c r="H524" s="1435"/>
      <c r="I524" t="s">
        <v>420</v>
      </c>
      <c r="AC524" s="1663">
        <v>10</v>
      </c>
      <c r="AD524" s="1664"/>
      <c r="AE524" s="1664"/>
      <c r="AF524" s="1664"/>
      <c r="AG524" s="13" t="s">
        <v>402</v>
      </c>
      <c r="AH524" s="1405">
        <v>2024</v>
      </c>
      <c r="AI524" s="1405"/>
      <c r="AJ524" s="1405"/>
      <c r="AK524" s="1406"/>
      <c r="AZ524" s="3"/>
      <c r="BA524" s="3"/>
      <c r="BB524" s="3"/>
      <c r="BC524" s="3"/>
      <c r="BD524" s="3"/>
      <c r="BE524" s="3"/>
      <c r="BF524" s="3"/>
      <c r="BG524" s="3"/>
      <c r="BH524" s="3"/>
      <c r="BI524" s="3"/>
      <c r="BJ524" s="3"/>
      <c r="BK524" s="3"/>
      <c r="BL524" s="3"/>
      <c r="BM524" s="3"/>
      <c r="BN524" s="3" t="s">
        <v>2116</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v>1</v>
      </c>
      <c r="AD525" s="1664"/>
      <c r="AE525" s="1664"/>
      <c r="AF525" s="1664"/>
      <c r="AG525" s="38" t="s">
        <v>402</v>
      </c>
      <c r="AH525" s="1405">
        <v>2025</v>
      </c>
      <c r="AI525" s="1405"/>
      <c r="AJ525" s="1405"/>
      <c r="AK525" s="1406"/>
      <c r="AZ525" s="3"/>
      <c r="BA525" s="3"/>
      <c r="BB525" s="3"/>
      <c r="BC525" s="3"/>
      <c r="BD525" s="3"/>
      <c r="BE525" s="3"/>
      <c r="BF525" s="3"/>
      <c r="BG525" s="3"/>
      <c r="BH525" s="3"/>
      <c r="BI525" s="3"/>
      <c r="BJ525" s="3"/>
      <c r="BK525" s="3"/>
      <c r="BL525" s="3"/>
      <c r="BM525" s="3"/>
      <c r="BN525" s="3" t="s">
        <v>2117</v>
      </c>
    </row>
    <row r="526" spans="2:66" ht="13" customHeight="1">
      <c r="B526" s="1674"/>
      <c r="C526" s="1434"/>
      <c r="D526" s="1434"/>
      <c r="E526" s="1434"/>
      <c r="F526" s="1434"/>
      <c r="G526" s="1434"/>
      <c r="H526" s="1435"/>
      <c r="I526" s="42" t="s">
        <v>422</v>
      </c>
      <c r="J526" s="42"/>
      <c r="K526" s="42"/>
      <c r="L526" s="42"/>
      <c r="M526" s="42"/>
      <c r="N526" s="42"/>
      <c r="O526" s="1751" t="s">
        <v>2698</v>
      </c>
      <c r="P526" s="1752"/>
      <c r="Q526" s="1752"/>
      <c r="R526" s="1752"/>
      <c r="S526" s="1752"/>
      <c r="T526" s="1752"/>
      <c r="U526" s="1752"/>
      <c r="V526" s="1752"/>
      <c r="W526" s="1752"/>
      <c r="X526" s="1752"/>
      <c r="Y526" s="1752"/>
      <c r="Z526" s="1752"/>
      <c r="AA526" s="1752"/>
      <c r="AC526" s="1663" t="s">
        <v>591</v>
      </c>
      <c r="AD526" s="1664"/>
      <c r="AE526" s="1664"/>
      <c r="AF526" s="1664"/>
      <c r="AG526" s="13" t="s">
        <v>402</v>
      </c>
      <c r="AH526" s="1405"/>
      <c r="AI526" s="1405"/>
      <c r="AJ526" s="1405"/>
      <c r="AK526" s="1406"/>
      <c r="AZ526" s="3"/>
      <c r="BA526" s="3"/>
      <c r="BB526" s="3"/>
      <c r="BC526" s="3"/>
      <c r="BD526" s="3"/>
      <c r="BE526" s="3"/>
      <c r="BF526" s="3"/>
      <c r="BG526" s="3"/>
      <c r="BH526" s="3"/>
      <c r="BI526" s="3"/>
      <c r="BJ526" s="3"/>
      <c r="BK526" s="3"/>
      <c r="BL526" s="3"/>
      <c r="BM526" s="3"/>
      <c r="BN526" s="3" t="s">
        <v>2118</v>
      </c>
    </row>
    <row r="527" spans="2:66" ht="13" customHeight="1">
      <c r="B527" s="1674"/>
      <c r="C527" s="1434"/>
      <c r="D527" s="1434"/>
      <c r="E527" s="1434"/>
      <c r="F527" s="1434"/>
      <c r="G527" s="1434"/>
      <c r="H527" s="1435"/>
      <c r="I527" t="s">
        <v>420</v>
      </c>
      <c r="AC527" s="1663">
        <v>2</v>
      </c>
      <c r="AD527" s="1664"/>
      <c r="AE527" s="1664"/>
      <c r="AF527" s="1664"/>
      <c r="AG527" s="13" t="s">
        <v>402</v>
      </c>
      <c r="AH527" s="1405">
        <v>2025</v>
      </c>
      <c r="AI527" s="1405"/>
      <c r="AJ527" s="1405"/>
      <c r="AK527" s="1406"/>
      <c r="AZ527" s="3"/>
      <c r="BA527" s="3"/>
      <c r="BB527" s="3"/>
      <c r="BC527" s="3"/>
      <c r="BD527" s="3"/>
      <c r="BE527" s="3"/>
      <c r="BF527" s="3"/>
      <c r="BG527" s="3"/>
      <c r="BH527" s="3"/>
      <c r="BI527" s="3"/>
      <c r="BJ527" s="3"/>
      <c r="BK527" s="3"/>
      <c r="BL527" s="3"/>
      <c r="BM527" s="3"/>
      <c r="BN527" s="3" t="s">
        <v>2119</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v>2</v>
      </c>
      <c r="AD528" s="1664"/>
      <c r="AE528" s="1664"/>
      <c r="AF528" s="1664"/>
      <c r="AG528" s="38" t="s">
        <v>402</v>
      </c>
      <c r="AH528" s="1405">
        <v>2025</v>
      </c>
      <c r="AI528" s="1405"/>
      <c r="AJ528" s="1405"/>
      <c r="AK528" s="1406"/>
      <c r="AZ528" s="3"/>
      <c r="BA528" s="3"/>
      <c r="BB528" s="3"/>
      <c r="BC528" s="3"/>
      <c r="BD528" s="3"/>
      <c r="BE528" s="3"/>
      <c r="BF528" s="3"/>
      <c r="BG528" s="3"/>
      <c r="BH528" s="3"/>
      <c r="BI528" s="3"/>
      <c r="BJ528" s="3"/>
      <c r="BK528" s="3"/>
      <c r="BL528" s="3"/>
      <c r="BM528" s="3"/>
      <c r="BN528" s="3" t="s">
        <v>2120</v>
      </c>
    </row>
    <row r="529" spans="1:66" ht="13" customHeight="1">
      <c r="B529" s="1674"/>
      <c r="C529" s="1434"/>
      <c r="D529" s="1434"/>
      <c r="E529" s="1434"/>
      <c r="F529" s="1434"/>
      <c r="G529" s="1434"/>
      <c r="H529" s="1435"/>
      <c r="I529" s="42" t="s">
        <v>422</v>
      </c>
      <c r="J529" s="42"/>
      <c r="K529" s="42"/>
      <c r="L529" s="42"/>
      <c r="M529" s="42"/>
      <c r="N529" s="42"/>
      <c r="O529" s="1751" t="s">
        <v>333</v>
      </c>
      <c r="P529" s="1752"/>
      <c r="Q529" s="1752"/>
      <c r="R529" s="1752"/>
      <c r="S529" s="1752"/>
      <c r="T529" s="1752"/>
      <c r="U529" s="1752"/>
      <c r="V529" s="1752"/>
      <c r="W529" s="1752"/>
      <c r="X529" s="1752"/>
      <c r="Y529" s="1752"/>
      <c r="Z529" s="1752"/>
      <c r="AA529" s="1752"/>
      <c r="AC529" s="1663" t="s">
        <v>591</v>
      </c>
      <c r="AD529" s="1664"/>
      <c r="AE529" s="1664"/>
      <c r="AF529" s="1664"/>
      <c r="AG529" s="13" t="s">
        <v>402</v>
      </c>
      <c r="AH529" s="1405"/>
      <c r="AI529" s="1405"/>
      <c r="AJ529" s="1405"/>
      <c r="AK529" s="1406"/>
      <c r="AZ529" s="3"/>
      <c r="BA529" s="3"/>
      <c r="BB529" s="3"/>
      <c r="BC529" s="3"/>
      <c r="BD529" s="3"/>
      <c r="BE529" s="3"/>
      <c r="BF529" s="3"/>
      <c r="BG529" s="3"/>
      <c r="BH529" s="3"/>
      <c r="BI529" s="3"/>
      <c r="BJ529" s="3"/>
      <c r="BK529" s="3"/>
      <c r="BL529" s="3"/>
      <c r="BM529" s="3"/>
      <c r="BN529" s="3" t="s">
        <v>2121</v>
      </c>
    </row>
    <row r="530" spans="1:66" ht="13" customHeight="1">
      <c r="B530" s="1674"/>
      <c r="C530" s="1434"/>
      <c r="D530" s="1434"/>
      <c r="E530" s="1434"/>
      <c r="F530" s="1434"/>
      <c r="G530" s="1434"/>
      <c r="H530" s="1435"/>
      <c r="I530" t="s">
        <v>420</v>
      </c>
      <c r="AC530" s="1663" t="s">
        <v>591</v>
      </c>
      <c r="AD530" s="1664"/>
      <c r="AE530" s="1664"/>
      <c r="AF530" s="1664"/>
      <c r="AG530" s="13" t="s">
        <v>402</v>
      </c>
      <c r="AH530" s="1405"/>
      <c r="AI530" s="1405"/>
      <c r="AJ530" s="1405"/>
      <c r="AK530" s="1406"/>
      <c r="AZ530" s="3"/>
      <c r="BA530" s="3"/>
      <c r="BB530" s="3"/>
      <c r="BC530" s="3"/>
      <c r="BD530" s="3"/>
      <c r="BE530" s="3"/>
      <c r="BF530" s="3"/>
      <c r="BG530" s="3"/>
      <c r="BH530" s="3"/>
      <c r="BI530" s="3"/>
      <c r="BJ530" s="3"/>
      <c r="BK530" s="3"/>
      <c r="BL530" s="3"/>
      <c r="BM530" s="3"/>
      <c r="BN530" s="3" t="s">
        <v>2122</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5"/>
      <c r="AI531" s="1405"/>
      <c r="AJ531" s="1405"/>
      <c r="AK531" s="1406"/>
      <c r="AZ531" s="3"/>
      <c r="BA531" s="3"/>
      <c r="BB531" s="3"/>
      <c r="BC531" s="3"/>
      <c r="BD531" s="3"/>
      <c r="BE531" s="3"/>
      <c r="BF531" s="3"/>
      <c r="BG531" s="3"/>
      <c r="BH531" s="3"/>
      <c r="BI531" s="3"/>
      <c r="BJ531" s="3"/>
      <c r="BK531" s="3"/>
      <c r="BL531" s="3"/>
      <c r="BM531" s="3"/>
      <c r="BN531" s="3" t="s">
        <v>2123</v>
      </c>
    </row>
    <row r="532" spans="1:66" ht="13" customHeight="1">
      <c r="B532" s="1674"/>
      <c r="C532" s="1434"/>
      <c r="D532" s="1434"/>
      <c r="E532" s="1434"/>
      <c r="F532" s="1434"/>
      <c r="G532" s="1434"/>
      <c r="H532" s="1435"/>
      <c r="I532" s="42" t="s">
        <v>422</v>
      </c>
      <c r="J532" s="42"/>
      <c r="K532" s="42"/>
      <c r="L532" s="42"/>
      <c r="M532" s="42"/>
      <c r="N532" s="42"/>
      <c r="O532" s="1751" t="s">
        <v>333</v>
      </c>
      <c r="P532" s="1752"/>
      <c r="Q532" s="1752"/>
      <c r="R532" s="1752"/>
      <c r="S532" s="1752"/>
      <c r="T532" s="1752"/>
      <c r="U532" s="1752"/>
      <c r="V532" s="1752"/>
      <c r="W532" s="1752"/>
      <c r="X532" s="1752"/>
      <c r="Y532" s="1752"/>
      <c r="Z532" s="1752"/>
      <c r="AA532" s="1752"/>
      <c r="AC532" s="1663" t="s">
        <v>591</v>
      </c>
      <c r="AD532" s="1664"/>
      <c r="AE532" s="1664"/>
      <c r="AF532" s="1664"/>
      <c r="AG532" s="13" t="s">
        <v>402</v>
      </c>
      <c r="AH532" s="1405"/>
      <c r="AI532" s="1405"/>
      <c r="AJ532" s="1405"/>
      <c r="AK532" s="1406"/>
      <c r="AZ532" s="3"/>
      <c r="BA532" s="3"/>
      <c r="BB532" s="3"/>
      <c r="BC532" s="3"/>
      <c r="BD532" s="3"/>
      <c r="BE532" s="3"/>
      <c r="BF532" s="3"/>
      <c r="BG532" s="3"/>
      <c r="BH532" s="3"/>
      <c r="BI532" s="3"/>
      <c r="BJ532" s="3"/>
      <c r="BK532" s="3"/>
      <c r="BL532" s="3"/>
      <c r="BM532" s="3"/>
      <c r="BN532" s="3" t="s">
        <v>2124</v>
      </c>
    </row>
    <row r="533" spans="1:66" ht="13" customHeight="1">
      <c r="B533" s="1674"/>
      <c r="C533" s="1434"/>
      <c r="D533" s="1434"/>
      <c r="E533" s="1434"/>
      <c r="F533" s="1434"/>
      <c r="G533" s="1434"/>
      <c r="H533" s="1435"/>
      <c r="I533" t="s">
        <v>420</v>
      </c>
      <c r="AC533" s="1663" t="s">
        <v>591</v>
      </c>
      <c r="AD533" s="1664"/>
      <c r="AE533" s="1664"/>
      <c r="AF533" s="1664"/>
      <c r="AG533" s="38" t="s">
        <v>402</v>
      </c>
      <c r="AH533" s="1405"/>
      <c r="AI533" s="1405"/>
      <c r="AJ533" s="1405"/>
      <c r="AK533" s="1406"/>
      <c r="AZ533" s="3"/>
      <c r="BA533" s="3"/>
      <c r="BB533" s="3"/>
      <c r="BC533" s="3"/>
      <c r="BD533" s="3"/>
      <c r="BE533" s="3"/>
      <c r="BF533" s="3"/>
      <c r="BG533" s="3"/>
      <c r="BH533" s="3"/>
      <c r="BI533" s="3"/>
      <c r="BJ533" s="3"/>
      <c r="BK533" s="3"/>
      <c r="BL533" s="3"/>
      <c r="BM533" s="3"/>
      <c r="BN533" s="3" t="s">
        <v>2125</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5"/>
      <c r="AI534" s="1405"/>
      <c r="AJ534" s="1405"/>
      <c r="AK534" s="1406"/>
      <c r="AZ534" s="3"/>
      <c r="BA534" s="3"/>
      <c r="BB534" s="3"/>
      <c r="BC534" s="3"/>
      <c r="BD534" s="3"/>
      <c r="BE534" s="3"/>
      <c r="BF534" s="3"/>
      <c r="BG534" s="3"/>
      <c r="BH534" s="3"/>
      <c r="BI534" s="3"/>
      <c r="BJ534" s="3"/>
      <c r="BK534" s="3"/>
      <c r="BL534" s="3"/>
      <c r="BM534" s="3"/>
      <c r="BN534" s="3" t="s">
        <v>2126</v>
      </c>
    </row>
    <row r="535" spans="1:66" ht="13" customHeight="1">
      <c r="B535" s="1674"/>
      <c r="C535" s="1434"/>
      <c r="D535" s="1434"/>
      <c r="E535" s="1434"/>
      <c r="F535" s="1434"/>
      <c r="G535" s="1434"/>
      <c r="H535" s="1435"/>
      <c r="I535" s="42" t="s">
        <v>422</v>
      </c>
      <c r="J535" s="42"/>
      <c r="K535" s="42"/>
      <c r="L535" s="42"/>
      <c r="M535" s="42"/>
      <c r="N535" s="42"/>
      <c r="O535" s="1751" t="s">
        <v>333</v>
      </c>
      <c r="P535" s="1752"/>
      <c r="Q535" s="1752"/>
      <c r="R535" s="1752"/>
      <c r="S535" s="1752"/>
      <c r="T535" s="1752"/>
      <c r="U535" s="1752"/>
      <c r="V535" s="1752"/>
      <c r="W535" s="1752"/>
      <c r="X535" s="1752"/>
      <c r="Y535" s="1752"/>
      <c r="Z535" s="1752"/>
      <c r="AA535" s="1752"/>
      <c r="AC535" s="1663" t="s">
        <v>591</v>
      </c>
      <c r="AD535" s="1664"/>
      <c r="AE535" s="1664"/>
      <c r="AF535" s="1664"/>
      <c r="AG535" s="38" t="s">
        <v>402</v>
      </c>
      <c r="AH535" s="1405"/>
      <c r="AI535" s="1405"/>
      <c r="AJ535" s="1405"/>
      <c r="AK535" s="1406"/>
      <c r="AZ535" s="3"/>
      <c r="BA535" s="3"/>
      <c r="BB535" s="3"/>
      <c r="BC535" s="3"/>
      <c r="BD535" s="3"/>
      <c r="BE535" s="3"/>
      <c r="BF535" s="3"/>
      <c r="BG535" s="3"/>
      <c r="BH535" s="3"/>
      <c r="BI535" s="3"/>
      <c r="BJ535" s="3"/>
      <c r="BK535" s="3"/>
      <c r="BL535" s="3"/>
      <c r="BM535" s="3"/>
      <c r="BN535" s="3" t="s">
        <v>2127</v>
      </c>
    </row>
    <row r="536" spans="1:66" ht="13" customHeight="1">
      <c r="B536" s="1674"/>
      <c r="C536" s="1434"/>
      <c r="D536" s="1434"/>
      <c r="E536" s="1434"/>
      <c r="F536" s="1434"/>
      <c r="G536" s="1434"/>
      <c r="H536" s="1435"/>
      <c r="I536" t="s">
        <v>420</v>
      </c>
      <c r="AC536" s="1663" t="s">
        <v>591</v>
      </c>
      <c r="AD536" s="1664"/>
      <c r="AE536" s="1664"/>
      <c r="AF536" s="1664"/>
      <c r="AG536" s="13" t="s">
        <v>402</v>
      </c>
      <c r="AH536" s="1405"/>
      <c r="AI536" s="1405"/>
      <c r="AJ536" s="1405"/>
      <c r="AK536" s="1406"/>
      <c r="AZ536" s="3"/>
      <c r="BA536" s="3"/>
      <c r="BB536" s="3"/>
      <c r="BC536" s="3"/>
      <c r="BD536" s="3"/>
      <c r="BE536" s="3"/>
      <c r="BF536" s="3"/>
      <c r="BG536" s="3"/>
      <c r="BH536" s="3"/>
      <c r="BI536" s="3"/>
      <c r="BJ536" s="3"/>
      <c r="BK536" s="3"/>
      <c r="BL536" s="3"/>
      <c r="BM536" s="3"/>
      <c r="BN536" s="3" t="s">
        <v>2128</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5"/>
      <c r="AI537" s="1405"/>
      <c r="AJ537" s="1405"/>
      <c r="AK537" s="1406"/>
      <c r="AZ537" s="3"/>
      <c r="BA537" s="3"/>
      <c r="BB537" s="3"/>
      <c r="BC537" s="3"/>
      <c r="BD537" s="3"/>
      <c r="BE537" s="3"/>
      <c r="BF537" s="3"/>
      <c r="BG537" s="3"/>
      <c r="BH537" s="3"/>
      <c r="BI537" s="3"/>
      <c r="BJ537" s="3"/>
      <c r="BK537" s="3"/>
      <c r="BL537" s="3"/>
      <c r="BM537" s="3"/>
      <c r="BN537" s="3" t="s">
        <v>2129</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t="s">
        <v>591</v>
      </c>
      <c r="AD538" s="1664"/>
      <c r="AE538" s="1664"/>
      <c r="AF538" s="1664"/>
      <c r="AG538" s="38" t="s">
        <v>402</v>
      </c>
      <c r="AH538" s="1405"/>
      <c r="AI538" s="1405"/>
      <c r="AJ538" s="1405"/>
      <c r="AK538" s="1406"/>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12</v>
      </c>
      <c r="AD539" s="1664"/>
      <c r="AE539" s="1664"/>
      <c r="AF539" s="1664"/>
      <c r="AG539" s="13" t="s">
        <v>402</v>
      </c>
      <c r="AH539" s="1405">
        <v>2025</v>
      </c>
      <c r="AI539" s="1405"/>
      <c r="AJ539" s="1405"/>
      <c r="AK539" s="1406"/>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2</v>
      </c>
      <c r="AD540" s="1664"/>
      <c r="AE540" s="1664"/>
      <c r="AF540" s="1664"/>
      <c r="AG540" s="38" t="s">
        <v>402</v>
      </c>
      <c r="AH540" s="1405">
        <v>2028</v>
      </c>
      <c r="AI540" s="1405"/>
      <c r="AJ540" s="1405"/>
      <c r="AK540" s="1406"/>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2</v>
      </c>
      <c r="AD541" s="1664"/>
      <c r="AE541" s="1664"/>
      <c r="AF541" s="1664"/>
      <c r="AG541" s="38" t="s">
        <v>402</v>
      </c>
      <c r="AH541" s="1405">
        <v>2028</v>
      </c>
      <c r="AI541" s="1405"/>
      <c r="AJ541" s="1405"/>
      <c r="AK541" s="1406"/>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7</v>
      </c>
      <c r="AD542" s="1664"/>
      <c r="AE542" s="1664"/>
      <c r="AF542" s="1664"/>
      <c r="AG542" s="38" t="s">
        <v>402</v>
      </c>
      <c r="AH542" s="1405">
        <v>2028</v>
      </c>
      <c r="AI542" s="1405"/>
      <c r="AJ542" s="1405"/>
      <c r="AK542" s="1406"/>
      <c r="BB542" s="3"/>
      <c r="BC542" s="3"/>
      <c r="BD542" s="3"/>
      <c r="BE542" s="3"/>
      <c r="BF542" s="3"/>
      <c r="BG542" s="3"/>
      <c r="BH542" s="3" t="s">
        <v>112</v>
      </c>
      <c r="BI542" s="3" t="str">
        <f>N649</f>
        <v>No</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No</v>
      </c>
      <c r="BJ543" s="3"/>
      <c r="BK543" s="3"/>
      <c r="BL543" s="3"/>
      <c r="BM543" s="3"/>
      <c r="BN543" s="3"/>
    </row>
    <row r="544" spans="1:66" ht="13"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No</v>
      </c>
    </row>
    <row r="551" spans="1:61" ht="13"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453</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4" t="s">
        <v>2728</v>
      </c>
      <c r="D554" s="1694"/>
      <c r="E554" s="1694"/>
      <c r="F554" s="1694"/>
      <c r="G554" s="1694"/>
      <c r="H554" s="1694"/>
      <c r="I554" s="1694"/>
      <c r="J554" s="1694"/>
      <c r="K554" s="1694"/>
      <c r="L554" s="1694"/>
      <c r="M554" s="1694" t="s">
        <v>2120</v>
      </c>
      <c r="N554" s="1694"/>
      <c r="O554" s="1694"/>
      <c r="P554" s="1694"/>
      <c r="Q554" s="1454">
        <v>31</v>
      </c>
      <c r="R554" s="1454"/>
      <c r="S554" s="1455"/>
      <c r="T554" s="1453">
        <v>31</v>
      </c>
      <c r="U554" s="1454"/>
      <c r="V554" s="1455"/>
      <c r="W554" s="1456">
        <v>6.9739999999999996E-2</v>
      </c>
      <c r="X554" s="1457"/>
      <c r="Y554" s="1458"/>
      <c r="Z554" s="1695" t="s">
        <v>2699</v>
      </c>
      <c r="AA554" s="1695"/>
      <c r="AB554" s="1695"/>
      <c r="AC554" s="1695"/>
      <c r="AD554" s="1695"/>
      <c r="AE554" s="1676">
        <v>1</v>
      </c>
      <c r="AF554" s="1677"/>
      <c r="AG554" s="1677"/>
      <c r="AH554" s="1678"/>
      <c r="AI554" s="1679"/>
      <c r="AJ554" s="1680"/>
      <c r="AK554" s="1680"/>
      <c r="AL554" s="1681"/>
      <c r="AM554" s="1669">
        <v>53248129</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
        <v>2729</v>
      </c>
      <c r="D555" s="1682"/>
      <c r="E555" s="1682"/>
      <c r="F555" s="1682"/>
      <c r="G555" s="1682"/>
      <c r="H555" s="1682"/>
      <c r="I555" s="1682"/>
      <c r="J555" s="1682"/>
      <c r="K555" s="1682"/>
      <c r="L555" s="1682"/>
      <c r="M555" s="1694" t="s">
        <v>2119</v>
      </c>
      <c r="N555" s="1694"/>
      <c r="O555" s="1694"/>
      <c r="P555" s="1694"/>
      <c r="Q555" s="1453">
        <v>31</v>
      </c>
      <c r="R555" s="1454"/>
      <c r="S555" s="1455"/>
      <c r="T555" s="1453">
        <v>31</v>
      </c>
      <c r="U555" s="1454"/>
      <c r="V555" s="1455"/>
      <c r="W555" s="1456">
        <v>7.2239999999999999E-2</v>
      </c>
      <c r="X555" s="1457"/>
      <c r="Y555" s="1458"/>
      <c r="Z555" s="1695" t="s">
        <v>2699</v>
      </c>
      <c r="AA555" s="1695"/>
      <c r="AB555" s="1695"/>
      <c r="AC555" s="1695"/>
      <c r="AD555" s="1695"/>
      <c r="AE555" s="1676">
        <v>2</v>
      </c>
      <c r="AF555" s="1677"/>
      <c r="AG555" s="1677"/>
      <c r="AH555" s="1678"/>
      <c r="AI555" s="1679"/>
      <c r="AJ555" s="1680"/>
      <c r="AK555" s="1680"/>
      <c r="AL555" s="1681"/>
      <c r="AM555" s="1669">
        <v>28857696</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
        <v>2695</v>
      </c>
      <c r="D556" s="1682"/>
      <c r="E556" s="1682"/>
      <c r="F556" s="1682"/>
      <c r="G556" s="1682"/>
      <c r="H556" s="1682"/>
      <c r="I556" s="1682"/>
      <c r="J556" s="1682"/>
      <c r="K556" s="1682"/>
      <c r="L556" s="1682"/>
      <c r="M556" s="1694" t="s">
        <v>2119</v>
      </c>
      <c r="N556" s="1694"/>
      <c r="O556" s="1694"/>
      <c r="P556" s="1694"/>
      <c r="Q556" s="1453">
        <v>31</v>
      </c>
      <c r="R556" s="1454"/>
      <c r="S556" s="1455"/>
      <c r="T556" s="1453">
        <v>31</v>
      </c>
      <c r="U556" s="1454"/>
      <c r="V556" s="1455"/>
      <c r="W556" s="1456">
        <v>0.03</v>
      </c>
      <c r="X556" s="1457"/>
      <c r="Y556" s="1458"/>
      <c r="Z556" s="1695" t="s">
        <v>2700</v>
      </c>
      <c r="AA556" s="1695"/>
      <c r="AB556" s="1695"/>
      <c r="AC556" s="1695"/>
      <c r="AD556" s="1695"/>
      <c r="AE556" s="1676">
        <v>3</v>
      </c>
      <c r="AF556" s="1677"/>
      <c r="AG556" s="1677"/>
      <c r="AH556" s="1678"/>
      <c r="AI556" s="1679"/>
      <c r="AJ556" s="1680"/>
      <c r="AK556" s="1680"/>
      <c r="AL556" s="1681"/>
      <c r="AM556" s="1669">
        <v>2500000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2701</v>
      </c>
      <c r="D557" s="1682"/>
      <c r="E557" s="1682"/>
      <c r="F557" s="1682"/>
      <c r="G557" s="1682"/>
      <c r="H557" s="1682"/>
      <c r="I557" s="1682"/>
      <c r="J557" s="1682"/>
      <c r="K557" s="1682"/>
      <c r="L557" s="1682"/>
      <c r="M557" s="1694" t="s">
        <v>2119</v>
      </c>
      <c r="N557" s="1694"/>
      <c r="O557" s="1694"/>
      <c r="P557" s="1694"/>
      <c r="Q557" s="1453">
        <v>31</v>
      </c>
      <c r="R557" s="1454"/>
      <c r="S557" s="1455"/>
      <c r="T557" s="1453">
        <v>31</v>
      </c>
      <c r="U557" s="1454"/>
      <c r="V557" s="1455"/>
      <c r="W557" s="1456">
        <v>0.03</v>
      </c>
      <c r="X557" s="1457"/>
      <c r="Y557" s="1458"/>
      <c r="Z557" s="1695" t="s">
        <v>2700</v>
      </c>
      <c r="AA557" s="1695"/>
      <c r="AB557" s="1695"/>
      <c r="AC557" s="1695"/>
      <c r="AD557" s="1695"/>
      <c r="AE557" s="1676">
        <v>3</v>
      </c>
      <c r="AF557" s="1677"/>
      <c r="AG557" s="1677"/>
      <c r="AH557" s="1678"/>
      <c r="AI557" s="1679"/>
      <c r="AJ557" s="1680"/>
      <c r="AK557" s="1680"/>
      <c r="AL557" s="1681"/>
      <c r="AM557" s="1669">
        <v>5000000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763</v>
      </c>
      <c r="C558" s="1682" t="s">
        <v>2698</v>
      </c>
      <c r="D558" s="1682"/>
      <c r="E558" s="1682"/>
      <c r="F558" s="1682"/>
      <c r="G558" s="1682"/>
      <c r="H558" s="1682"/>
      <c r="I558" s="1682"/>
      <c r="J558" s="1682"/>
      <c r="K558" s="1682"/>
      <c r="L558" s="1682"/>
      <c r="M558" s="1694" t="s">
        <v>2119</v>
      </c>
      <c r="N558" s="1694"/>
      <c r="O558" s="1694"/>
      <c r="P558" s="1694"/>
      <c r="Q558" s="1453">
        <v>31</v>
      </c>
      <c r="R558" s="1454"/>
      <c r="S558" s="1455"/>
      <c r="T558" s="1453">
        <v>31</v>
      </c>
      <c r="U558" s="1454"/>
      <c r="V558" s="1455"/>
      <c r="W558" s="1456">
        <v>0.03</v>
      </c>
      <c r="X558" s="1457"/>
      <c r="Y558" s="1458"/>
      <c r="Z558" s="1695" t="s">
        <v>2700</v>
      </c>
      <c r="AA558" s="1695"/>
      <c r="AB558" s="1695"/>
      <c r="AC558" s="1695"/>
      <c r="AD558" s="1695"/>
      <c r="AE558" s="1676">
        <v>3</v>
      </c>
      <c r="AF558" s="1677"/>
      <c r="AG558" s="1677"/>
      <c r="AH558" s="1678"/>
      <c r="AI558" s="1679"/>
      <c r="AJ558" s="1680"/>
      <c r="AK558" s="1680"/>
      <c r="AL558" s="1681"/>
      <c r="AM558" s="1669">
        <v>3000000</v>
      </c>
      <c r="AN558" s="1670"/>
      <c r="AO558" s="1670"/>
      <c r="AP558" s="1670"/>
      <c r="AQ558" s="1670"/>
      <c r="AR558" s="1670"/>
      <c r="AS558" s="1671"/>
      <c r="AT558" s="1148" t="str">
        <f t="shared" ref="AT558:AT565" si="0">IF(AND(NOT(C557=""),C558="",NOT(C559="")),"!","")</f>
        <v/>
      </c>
      <c r="AU558" s="1147"/>
      <c r="BB558" s="3"/>
      <c r="BC558" s="3"/>
      <c r="BD558" s="3"/>
      <c r="BE558" s="3"/>
      <c r="BF558" s="3"/>
      <c r="BG558" s="3"/>
      <c r="BH558" s="3" t="s">
        <v>763</v>
      </c>
      <c r="BI558" s="3" t="str">
        <f>N665</f>
        <v>No</v>
      </c>
    </row>
    <row r="559" spans="1:61" ht="13" customHeight="1">
      <c r="B559" s="52" t="s">
        <v>584</v>
      </c>
      <c r="C559" s="1682" t="s">
        <v>2702</v>
      </c>
      <c r="D559" s="1682"/>
      <c r="E559" s="1682"/>
      <c r="F559" s="1682"/>
      <c r="G559" s="1682"/>
      <c r="H559" s="1682"/>
      <c r="I559" s="1682"/>
      <c r="J559" s="1682"/>
      <c r="K559" s="1682"/>
      <c r="L559" s="1682"/>
      <c r="M559" s="1694" t="s">
        <v>2106</v>
      </c>
      <c r="N559" s="1694"/>
      <c r="O559" s="1694"/>
      <c r="P559" s="1694"/>
      <c r="Q559" s="1453"/>
      <c r="R559" s="1454"/>
      <c r="S559" s="1455"/>
      <c r="T559" s="1453"/>
      <c r="U559" s="1454"/>
      <c r="V559" s="1455"/>
      <c r="W559" s="1456"/>
      <c r="X559" s="1457"/>
      <c r="Y559" s="1458"/>
      <c r="Z559" s="1695" t="s">
        <v>591</v>
      </c>
      <c r="AA559" s="1695"/>
      <c r="AB559" s="1695"/>
      <c r="AC559" s="1695"/>
      <c r="AD559" s="1695"/>
      <c r="AE559" s="1676"/>
      <c r="AF559" s="1677"/>
      <c r="AG559" s="1677"/>
      <c r="AH559" s="1678"/>
      <c r="AI559" s="1679"/>
      <c r="AJ559" s="1680"/>
      <c r="AK559" s="1680"/>
      <c r="AL559" s="1681"/>
      <c r="AM559" s="1669">
        <v>4729624</v>
      </c>
      <c r="AN559" s="1670"/>
      <c r="AO559" s="1670"/>
      <c r="AP559" s="1670"/>
      <c r="AQ559" s="1670"/>
      <c r="AR559" s="1670"/>
      <c r="AS559" s="1671"/>
      <c r="AT559" s="1148" t="str">
        <f t="shared" si="0"/>
        <v/>
      </c>
      <c r="AU559" s="1147"/>
      <c r="BB559" s="3"/>
      <c r="BC559" s="3"/>
      <c r="BD559" s="3"/>
      <c r="BE559" s="3"/>
      <c r="BF559" s="3"/>
      <c r="BG559" s="3"/>
      <c r="BH559" s="3" t="s">
        <v>584</v>
      </c>
      <c r="BI559" s="3" t="str">
        <f>AG665</f>
        <v>No</v>
      </c>
    </row>
    <row r="560" spans="1:61" ht="13" customHeight="1">
      <c r="B560" s="52" t="s">
        <v>455</v>
      </c>
      <c r="C560" s="1682" t="s">
        <v>2322</v>
      </c>
      <c r="D560" s="1682"/>
      <c r="E560" s="1682"/>
      <c r="F560" s="1682"/>
      <c r="G560" s="1682"/>
      <c r="H560" s="1682"/>
      <c r="I560" s="1682"/>
      <c r="J560" s="1682"/>
      <c r="K560" s="1682"/>
      <c r="L560" s="1682"/>
      <c r="M560" s="1694" t="s">
        <v>2107</v>
      </c>
      <c r="N560" s="1694"/>
      <c r="O560" s="1694"/>
      <c r="P560" s="1694"/>
      <c r="Q560" s="1453"/>
      <c r="R560" s="1454"/>
      <c r="S560" s="1455"/>
      <c r="T560" s="1453"/>
      <c r="U560" s="1454"/>
      <c r="V560" s="1455"/>
      <c r="W560" s="1456"/>
      <c r="X560" s="1457"/>
      <c r="Y560" s="1458"/>
      <c r="Z560" s="1695" t="s">
        <v>591</v>
      </c>
      <c r="AA560" s="1695"/>
      <c r="AB560" s="1695"/>
      <c r="AC560" s="1695"/>
      <c r="AD560" s="1695"/>
      <c r="AE560" s="1676"/>
      <c r="AF560" s="1677"/>
      <c r="AG560" s="1677"/>
      <c r="AH560" s="1678"/>
      <c r="AI560" s="1679"/>
      <c r="AJ560" s="1680"/>
      <c r="AK560" s="1680"/>
      <c r="AL560" s="1681"/>
      <c r="AM560" s="1669">
        <v>8165392</v>
      </c>
      <c r="AN560" s="1670"/>
      <c r="AO560" s="1670"/>
      <c r="AP560" s="1670"/>
      <c r="AQ560" s="1670"/>
      <c r="AR560" s="1670"/>
      <c r="AS560" s="1671"/>
      <c r="AT560" s="1148" t="str">
        <f t="shared" si="0"/>
        <v/>
      </c>
      <c r="AU560" s="1147"/>
      <c r="BB560" s="3"/>
      <c r="BC560" s="3"/>
      <c r="BD560" s="3"/>
      <c r="BE560" s="3"/>
      <c r="BF560" s="3"/>
      <c r="BG560" s="3"/>
      <c r="BH560" s="3"/>
      <c r="BI560" s="3"/>
    </row>
    <row r="561" spans="1:61" ht="13" customHeight="1">
      <c r="B561" s="52" t="s">
        <v>456</v>
      </c>
      <c r="C561" s="1682" t="s">
        <v>2703</v>
      </c>
      <c r="D561" s="1682"/>
      <c r="E561" s="1682"/>
      <c r="F561" s="1682"/>
      <c r="G561" s="1682"/>
      <c r="H561" s="1682"/>
      <c r="I561" s="1682"/>
      <c r="J561" s="1682"/>
      <c r="K561" s="1682"/>
      <c r="L561" s="1682"/>
      <c r="M561" s="1694" t="s">
        <v>2111</v>
      </c>
      <c r="N561" s="1694"/>
      <c r="O561" s="1694"/>
      <c r="P561" s="1694"/>
      <c r="Q561" s="1453"/>
      <c r="R561" s="1454"/>
      <c r="S561" s="1455"/>
      <c r="T561" s="1453"/>
      <c r="U561" s="1454"/>
      <c r="V561" s="1455"/>
      <c r="W561" s="1456"/>
      <c r="X561" s="1457"/>
      <c r="Y561" s="1458"/>
      <c r="Z561" s="1695" t="s">
        <v>591</v>
      </c>
      <c r="AA561" s="1695"/>
      <c r="AB561" s="1695"/>
      <c r="AC561" s="1695"/>
      <c r="AD561" s="1695"/>
      <c r="AE561" s="1676"/>
      <c r="AF561" s="1677"/>
      <c r="AG561" s="1677"/>
      <c r="AH561" s="1678"/>
      <c r="AI561" s="1679"/>
      <c r="AJ561" s="1680"/>
      <c r="AK561" s="1680"/>
      <c r="AL561" s="1681"/>
      <c r="AM561" s="1669">
        <v>6538660</v>
      </c>
      <c r="AN561" s="1670"/>
      <c r="AO561" s="1670"/>
      <c r="AP561" s="1670"/>
      <c r="AQ561" s="1670"/>
      <c r="AR561" s="1670"/>
      <c r="AS561" s="1671"/>
      <c r="AT561" s="1148" t="str">
        <f t="shared" si="0"/>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4" t="s">
        <v>2110</v>
      </c>
      <c r="N562" s="1694"/>
      <c r="O562" s="1694"/>
      <c r="P562" s="1694"/>
      <c r="Q562" s="1453"/>
      <c r="R562" s="1454"/>
      <c r="S562" s="1455"/>
      <c r="T562" s="1453"/>
      <c r="U562" s="1454"/>
      <c r="V562" s="1455"/>
      <c r="W562" s="1456"/>
      <c r="X562" s="1457"/>
      <c r="Y562" s="1458"/>
      <c r="Z562" s="1695" t="s">
        <v>591</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3" customHeight="1">
      <c r="B563" s="52" t="s">
        <v>646</v>
      </c>
      <c r="C563" s="1682"/>
      <c r="D563" s="1682"/>
      <c r="E563" s="1682"/>
      <c r="F563" s="1682"/>
      <c r="G563" s="1682"/>
      <c r="H563" s="1682"/>
      <c r="I563" s="1682"/>
      <c r="J563" s="1682"/>
      <c r="K563" s="1682"/>
      <c r="L563" s="1682"/>
      <c r="M563" s="1694" t="s">
        <v>2105</v>
      </c>
      <c r="N563" s="1694"/>
      <c r="O563" s="1694"/>
      <c r="P563" s="1694"/>
      <c r="Q563" s="1453"/>
      <c r="R563" s="1454"/>
      <c r="S563" s="1455"/>
      <c r="T563" s="1453"/>
      <c r="U563" s="1454"/>
      <c r="V563" s="1455"/>
      <c r="W563" s="1456"/>
      <c r="X563" s="1457"/>
      <c r="Y563" s="1458"/>
      <c r="Z563" s="1695" t="s">
        <v>591</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4" t="s">
        <v>1184</v>
      </c>
      <c r="N564" s="1694"/>
      <c r="O564" s="1694"/>
      <c r="P564" s="1694"/>
      <c r="Q564" s="1453"/>
      <c r="R564" s="1454"/>
      <c r="S564" s="1455"/>
      <c r="T564" s="1453"/>
      <c r="U564" s="1454"/>
      <c r="V564" s="1455"/>
      <c r="W564" s="1456"/>
      <c r="X564" s="1457"/>
      <c r="Y564" s="1458"/>
      <c r="Z564" s="1695" t="s">
        <v>1184</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4" t="s">
        <v>1184</v>
      </c>
      <c r="N565" s="1694"/>
      <c r="O565" s="1694"/>
      <c r="P565" s="1694"/>
      <c r="Q565" s="1453"/>
      <c r="R565" s="1454"/>
      <c r="S565" s="1455"/>
      <c r="T565" s="1453"/>
      <c r="U565" s="1454"/>
      <c r="V565" s="1455"/>
      <c r="W565" s="1456"/>
      <c r="X565" s="1457"/>
      <c r="Y565" s="1458"/>
      <c r="Z565" s="1695" t="s">
        <v>1184</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112039501</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59" t="str">
        <f>C554</f>
        <v>Citi Tax-Exempt Construction Loan</v>
      </c>
      <c r="H568" s="1359"/>
      <c r="I568" s="1359"/>
      <c r="J568" s="1359"/>
      <c r="K568" s="1359"/>
      <c r="L568" s="1359"/>
      <c r="M568" s="1359"/>
      <c r="N568" s="1359"/>
      <c r="O568" s="1359"/>
      <c r="P568" s="1359"/>
      <c r="Q568" s="1359"/>
      <c r="R568" s="1359"/>
      <c r="S568" s="8"/>
      <c r="T568" s="55" t="s">
        <v>113</v>
      </c>
      <c r="U568" t="s">
        <v>463</v>
      </c>
      <c r="Z568" s="1359" t="str">
        <f>C555</f>
        <v>Citi Taxable Construction Loan</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 customHeight="1">
      <c r="A569" s="22"/>
      <c r="B569" t="s">
        <v>85</v>
      </c>
      <c r="G569" s="1374" t="s">
        <v>2753</v>
      </c>
      <c r="H569" s="1374"/>
      <c r="I569" s="1374"/>
      <c r="J569" s="1374"/>
      <c r="K569" s="1374"/>
      <c r="L569" s="1374"/>
      <c r="M569" s="1374"/>
      <c r="N569" s="1374"/>
      <c r="O569" s="1374"/>
      <c r="P569" s="1374"/>
      <c r="Q569" s="1374"/>
      <c r="R569" s="1374"/>
      <c r="S569" s="8"/>
      <c r="T569" s="22"/>
      <c r="U569" t="s">
        <v>85</v>
      </c>
      <c r="Z569" s="1374" t="s">
        <v>2748</v>
      </c>
      <c r="AA569" s="1374"/>
      <c r="AB569" s="1374"/>
      <c r="AC569" s="1374"/>
      <c r="AD569" s="1374"/>
      <c r="AE569" s="1374"/>
      <c r="AF569" s="1374"/>
      <c r="AG569" s="1374"/>
      <c r="AH569" s="1374"/>
      <c r="AI569" s="1374"/>
      <c r="AJ569" s="1374"/>
      <c r="AK569" s="1374"/>
      <c r="BB569" s="3"/>
      <c r="BC569" s="3"/>
      <c r="BD569" s="3"/>
      <c r="BE569" s="3"/>
      <c r="BF569" s="3"/>
      <c r="BG569" s="3"/>
      <c r="BH569" s="3"/>
      <c r="BI569" s="3"/>
    </row>
    <row r="570" spans="1:61" ht="13" customHeight="1">
      <c r="A570" s="22"/>
      <c r="B570" t="s">
        <v>580</v>
      </c>
      <c r="G570" s="1374" t="s">
        <v>2754</v>
      </c>
      <c r="H570" s="1374"/>
      <c r="I570" s="1374"/>
      <c r="J570" s="1374"/>
      <c r="K570" s="1374"/>
      <c r="L570" s="1374"/>
      <c r="M570" s="1374"/>
      <c r="N570" s="1374"/>
      <c r="O570" s="1374"/>
      <c r="P570" s="1374"/>
      <c r="Q570" s="1374"/>
      <c r="R570" s="1374"/>
      <c r="T570" s="22"/>
      <c r="U570" t="s">
        <v>580</v>
      </c>
      <c r="Z570" s="1349" t="s">
        <v>494</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 customHeight="1">
      <c r="A571" s="22"/>
      <c r="B571" t="s">
        <v>17</v>
      </c>
      <c r="G571" s="1374" t="s">
        <v>2704</v>
      </c>
      <c r="H571" s="1374"/>
      <c r="I571" s="1374"/>
      <c r="J571" s="1374"/>
      <c r="K571" s="1374"/>
      <c r="L571" s="1374"/>
      <c r="M571" s="1374"/>
      <c r="N571" s="1374"/>
      <c r="O571" s="1374"/>
      <c r="P571" s="1374"/>
      <c r="Q571" s="1374"/>
      <c r="R571" s="1374"/>
      <c r="S571" s="8"/>
      <c r="T571" s="22"/>
      <c r="U571" t="s">
        <v>17</v>
      </c>
      <c r="Z571" s="1349" t="s">
        <v>2704</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 customHeight="1">
      <c r="A572" s="22"/>
      <c r="B572" t="s">
        <v>315</v>
      </c>
      <c r="G572" s="1347" t="s">
        <v>2711</v>
      </c>
      <c r="H572" s="1347"/>
      <c r="I572" s="1347"/>
      <c r="J572" s="1347"/>
      <c r="K572" s="1347"/>
      <c r="L572" s="1347"/>
      <c r="O572" s="33" t="s">
        <v>205</v>
      </c>
      <c r="P572" s="1438"/>
      <c r="Q572" s="1438"/>
      <c r="R572" s="1438"/>
      <c r="S572" s="10"/>
      <c r="T572" s="22"/>
      <c r="U572" t="s">
        <v>315</v>
      </c>
      <c r="Z572" s="1347" t="str">
        <f>G572</f>
        <v>415-515-0761</v>
      </c>
      <c r="AA572" s="1347"/>
      <c r="AB572" s="1347"/>
      <c r="AC572" s="1347"/>
      <c r="AD572" s="1347"/>
      <c r="AE572" s="1347"/>
      <c r="AH572" s="33" t="s">
        <v>205</v>
      </c>
      <c r="AI572" s="1438"/>
      <c r="AJ572" s="1438"/>
      <c r="AK572" s="1438"/>
      <c r="BB572" s="3"/>
      <c r="BC572" s="3"/>
      <c r="BD572" s="3"/>
      <c r="BE572" s="3"/>
      <c r="BF572" s="3"/>
      <c r="BG572" s="3"/>
      <c r="BH572" s="3"/>
      <c r="BI572" s="3"/>
    </row>
    <row r="573" spans="1:61" ht="13" customHeight="1">
      <c r="A573" s="22"/>
      <c r="B573" t="s">
        <v>18</v>
      </c>
      <c r="H573" s="1373" t="s">
        <v>2749</v>
      </c>
      <c r="I573" s="1374"/>
      <c r="J573" s="1374"/>
      <c r="K573" s="1374"/>
      <c r="L573" s="1374"/>
      <c r="M573" s="1374"/>
      <c r="N573" s="1374"/>
      <c r="O573" s="1374"/>
      <c r="P573" s="1374"/>
      <c r="Q573" s="1374"/>
      <c r="R573" s="1374"/>
      <c r="S573" s="8"/>
      <c r="T573" s="22"/>
      <c r="U573" t="s">
        <v>18</v>
      </c>
      <c r="AA573" s="1373" t="s">
        <v>2750</v>
      </c>
      <c r="AB573" s="1374"/>
      <c r="AC573" s="1374"/>
      <c r="AD573" s="1374"/>
      <c r="AE573" s="1374"/>
      <c r="AF573" s="1374"/>
      <c r="AG573" s="1374"/>
      <c r="AH573" s="1374"/>
      <c r="AI573" s="1374"/>
      <c r="AJ573" s="1374"/>
      <c r="AK573" s="1374"/>
      <c r="BB573" s="3"/>
      <c r="BC573" s="3"/>
      <c r="BD573" s="3"/>
      <c r="BE573" s="3"/>
      <c r="BF573" s="3"/>
      <c r="BG573" s="3"/>
      <c r="BH573" s="3"/>
      <c r="BI573" s="3"/>
    </row>
    <row r="574" spans="1:61" ht="13" customHeight="1">
      <c r="A574" s="22"/>
      <c r="B574" s="320" t="s">
        <v>1185</v>
      </c>
      <c r="H574" s="8"/>
      <c r="I574" s="8"/>
      <c r="J574" s="8"/>
      <c r="K574" s="8"/>
      <c r="L574" s="8"/>
      <c r="M574" s="1697"/>
      <c r="N574" s="1697"/>
      <c r="O574" s="1697"/>
      <c r="P574" s="1697"/>
      <c r="Q574" s="1697"/>
      <c r="R574" s="1697"/>
      <c r="S574" s="8"/>
      <c r="T574" s="22"/>
      <c r="U574" s="320" t="s">
        <v>1185</v>
      </c>
      <c r="AA574" s="8"/>
      <c r="AB574" s="8"/>
      <c r="AC574" s="8"/>
      <c r="AD574" s="8"/>
      <c r="AE574" s="8"/>
      <c r="AF574" s="1697"/>
      <c r="AG574" s="1697"/>
      <c r="AH574" s="1697"/>
      <c r="AI574" s="1697"/>
      <c r="AJ574" s="1697"/>
      <c r="AK574" s="1697"/>
      <c r="BB574" s="3"/>
      <c r="BC574" s="3"/>
      <c r="BD574" s="3"/>
      <c r="BE574" s="3"/>
      <c r="BF574" s="3"/>
      <c r="BG574" s="3"/>
      <c r="BH574" s="3"/>
      <c r="BI574" s="3"/>
    </row>
    <row r="575" spans="1:61" ht="13" customHeight="1">
      <c r="A575" s="22"/>
      <c r="B575" t="s">
        <v>20</v>
      </c>
      <c r="N575" s="1332" t="s">
        <v>545</v>
      </c>
      <c r="O575" s="1332"/>
      <c r="T575" s="22"/>
      <c r="U575" t="s">
        <v>20</v>
      </c>
      <c r="AG575" s="1332" t="s">
        <v>545</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59" t="str">
        <f>C556</f>
        <v>County of Santa Clara</v>
      </c>
      <c r="H577" s="1359"/>
      <c r="I577" s="1359"/>
      <c r="J577" s="1359"/>
      <c r="K577" s="1359"/>
      <c r="L577" s="1359"/>
      <c r="M577" s="1359"/>
      <c r="N577" s="1359"/>
      <c r="O577" s="1359"/>
      <c r="P577" s="1359"/>
      <c r="Q577" s="1359"/>
      <c r="R577" s="1359"/>
      <c r="T577" s="55" t="s">
        <v>581</v>
      </c>
      <c r="U577" t="s">
        <v>463</v>
      </c>
      <c r="Z577" s="1359" t="str">
        <f>C557</f>
        <v xml:space="preserve">City of Palo Alto </v>
      </c>
      <c r="AA577" s="1359"/>
      <c r="AB577" s="1359"/>
      <c r="AC577" s="1359"/>
      <c r="AD577" s="1359"/>
      <c r="AE577" s="1359"/>
      <c r="AF577" s="1359"/>
      <c r="AG577" s="1359"/>
      <c r="AH577" s="1359"/>
      <c r="AI577" s="1359"/>
      <c r="AJ577" s="1359"/>
      <c r="AK577" s="1359"/>
      <c r="BB577" s="3"/>
      <c r="BC577" s="3"/>
    </row>
    <row r="578" spans="1:55" ht="13" customHeight="1">
      <c r="A578" s="22"/>
      <c r="B578" t="s">
        <v>85</v>
      </c>
      <c r="G578" s="1374" t="s">
        <v>2705</v>
      </c>
      <c r="H578" s="1374"/>
      <c r="I578" s="1374"/>
      <c r="J578" s="1374"/>
      <c r="K578" s="1374"/>
      <c r="L578" s="1374"/>
      <c r="M578" s="1374"/>
      <c r="N578" s="1374"/>
      <c r="O578" s="1374"/>
      <c r="P578" s="1374"/>
      <c r="Q578" s="1374"/>
      <c r="R578" s="1374"/>
      <c r="T578" s="22"/>
      <c r="U578" t="s">
        <v>85</v>
      </c>
      <c r="Z578" s="1374" t="s">
        <v>2707</v>
      </c>
      <c r="AA578" s="1374"/>
      <c r="AB578" s="1374"/>
      <c r="AC578" s="1374"/>
      <c r="AD578" s="1374"/>
      <c r="AE578" s="1374"/>
      <c r="AF578" s="1374"/>
      <c r="AG578" s="1374"/>
      <c r="AH578" s="1374"/>
      <c r="AI578" s="1374"/>
      <c r="AJ578" s="1374"/>
      <c r="AK578" s="1374"/>
      <c r="BB578" s="3"/>
      <c r="BC578" s="3"/>
    </row>
    <row r="579" spans="1:55" ht="13" customHeight="1">
      <c r="A579" s="22"/>
      <c r="B579" t="s">
        <v>580</v>
      </c>
      <c r="G579" s="1349" t="s">
        <v>2623</v>
      </c>
      <c r="H579" s="1349"/>
      <c r="I579" s="1349"/>
      <c r="J579" s="1349"/>
      <c r="K579" s="1349"/>
      <c r="L579" s="1349"/>
      <c r="M579" s="1349"/>
      <c r="N579" s="1349"/>
      <c r="O579" s="1349"/>
      <c r="P579" s="1349"/>
      <c r="Q579" s="1349"/>
      <c r="R579" s="1349"/>
      <c r="T579" s="22"/>
      <c r="U579" t="s">
        <v>580</v>
      </c>
      <c r="Z579" s="1349" t="s">
        <v>2619</v>
      </c>
      <c r="AA579" s="1349"/>
      <c r="AB579" s="1349"/>
      <c r="AC579" s="1349"/>
      <c r="AD579" s="1349"/>
      <c r="AE579" s="1349"/>
      <c r="AF579" s="1349"/>
      <c r="AG579" s="1349"/>
      <c r="AH579" s="1349"/>
      <c r="AI579" s="1349"/>
      <c r="AJ579" s="1349"/>
      <c r="AK579" s="1349"/>
      <c r="BB579" s="3"/>
      <c r="BC579" s="3"/>
    </row>
    <row r="580" spans="1:55" ht="13" customHeight="1">
      <c r="A580" s="22"/>
      <c r="B580" t="s">
        <v>17</v>
      </c>
      <c r="G580" s="1349" t="s">
        <v>2706</v>
      </c>
      <c r="H580" s="1349"/>
      <c r="I580" s="1349"/>
      <c r="J580" s="1349"/>
      <c r="K580" s="1349"/>
      <c r="L580" s="1349"/>
      <c r="M580" s="1349"/>
      <c r="N580" s="1349"/>
      <c r="O580" s="1349"/>
      <c r="P580" s="1349"/>
      <c r="Q580" s="1349"/>
      <c r="R580" s="1349"/>
      <c r="T580" s="22"/>
      <c r="U580" t="s">
        <v>17</v>
      </c>
      <c r="Z580" s="1349" t="s">
        <v>2708</v>
      </c>
      <c r="AA580" s="1349"/>
      <c r="AB580" s="1349"/>
      <c r="AC580" s="1349"/>
      <c r="AD580" s="1349"/>
      <c r="AE580" s="1349"/>
      <c r="AF580" s="1349"/>
      <c r="AG580" s="1349"/>
      <c r="AH580" s="1349"/>
      <c r="AI580" s="1349"/>
      <c r="AJ580" s="1349"/>
      <c r="AK580" s="1349"/>
      <c r="BB580" s="3"/>
      <c r="BC580" s="3"/>
    </row>
    <row r="581" spans="1:55" ht="13" customHeight="1">
      <c r="A581" s="22"/>
      <c r="B581" t="s">
        <v>315</v>
      </c>
      <c r="G581" s="1346" t="s">
        <v>2712</v>
      </c>
      <c r="H581" s="1347"/>
      <c r="I581" s="1347"/>
      <c r="J581" s="1347"/>
      <c r="K581" s="1347"/>
      <c r="L581" s="1347"/>
      <c r="O581" s="33" t="s">
        <v>205</v>
      </c>
      <c r="P581" s="1438"/>
      <c r="Q581" s="1438"/>
      <c r="R581" s="1438"/>
      <c r="T581" s="22"/>
      <c r="U581" t="s">
        <v>315</v>
      </c>
      <c r="Z581" s="1346" t="s">
        <v>2715</v>
      </c>
      <c r="AA581" s="1347"/>
      <c r="AB581" s="1347"/>
      <c r="AC581" s="1347"/>
      <c r="AD581" s="1347"/>
      <c r="AE581" s="1347"/>
      <c r="AH581" s="33" t="s">
        <v>205</v>
      </c>
      <c r="AI581" s="1438"/>
      <c r="AJ581" s="1438"/>
      <c r="AK581" s="1438"/>
      <c r="BB581" s="3"/>
      <c r="BC581" s="3"/>
    </row>
    <row r="582" spans="1:55" ht="13" customHeight="1">
      <c r="A582" s="22"/>
      <c r="B582" t="s">
        <v>18</v>
      </c>
      <c r="H582" s="1373" t="s">
        <v>2713</v>
      </c>
      <c r="I582" s="1374"/>
      <c r="J582" s="1374"/>
      <c r="K582" s="1374"/>
      <c r="L582" s="1374"/>
      <c r="M582" s="1374"/>
      <c r="N582" s="1374"/>
      <c r="O582" s="1374"/>
      <c r="P582" s="1374"/>
      <c r="Q582" s="1374"/>
      <c r="R582" s="1374"/>
      <c r="T582" s="22"/>
      <c r="U582" t="s">
        <v>18</v>
      </c>
      <c r="AA582" s="1374" t="str">
        <f>H582</f>
        <v>Construction / Perm</v>
      </c>
      <c r="AB582" s="1374"/>
      <c r="AC582" s="1374"/>
      <c r="AD582" s="1374"/>
      <c r="AE582" s="1374"/>
      <c r="AF582" s="1374"/>
      <c r="AG582" s="1374"/>
      <c r="AH582" s="1374"/>
      <c r="AI582" s="1374"/>
      <c r="AJ582" s="1374"/>
      <c r="AK582" s="1374"/>
      <c r="BB582" s="3"/>
      <c r="BC582" s="3"/>
    </row>
    <row r="583" spans="1:55" ht="13" customHeight="1">
      <c r="A583" s="22"/>
      <c r="B583" t="s">
        <v>20</v>
      </c>
      <c r="N583" s="1332" t="s">
        <v>545</v>
      </c>
      <c r="O583" s="1332"/>
      <c r="T583" s="22"/>
      <c r="U583" t="s">
        <v>20</v>
      </c>
      <c r="AG583" s="1332" t="s">
        <v>545</v>
      </c>
      <c r="AH583" s="1332"/>
      <c r="BB583" s="3"/>
      <c r="BC583" s="3"/>
    </row>
    <row r="584" spans="1:55" ht="13" customHeight="1">
      <c r="A584" s="22"/>
      <c r="T584" s="22"/>
      <c r="BB584" s="3"/>
      <c r="BC584" s="3"/>
    </row>
    <row r="585" spans="1:55" ht="13" customHeight="1">
      <c r="A585" s="55" t="s">
        <v>763</v>
      </c>
      <c r="B585" t="s">
        <v>463</v>
      </c>
      <c r="G585" s="1359" t="str">
        <f>C558</f>
        <v>Stanford Affordable Housing Fund</v>
      </c>
      <c r="H585" s="1359"/>
      <c r="I585" s="1359"/>
      <c r="J585" s="1359"/>
      <c r="K585" s="1359"/>
      <c r="L585" s="1359"/>
      <c r="M585" s="1359"/>
      <c r="N585" s="1359"/>
      <c r="O585" s="1359"/>
      <c r="P585" s="1359"/>
      <c r="Q585" s="1359"/>
      <c r="R585" s="1359"/>
      <c r="T585" s="55" t="s">
        <v>584</v>
      </c>
      <c r="U585" t="s">
        <v>463</v>
      </c>
      <c r="Z585" s="1359" t="str">
        <f>C559</f>
        <v>Costs Deferred Until Closing</v>
      </c>
      <c r="AA585" s="1359"/>
      <c r="AB585" s="1359"/>
      <c r="AC585" s="1359"/>
      <c r="AD585" s="1359"/>
      <c r="AE585" s="1359"/>
      <c r="AF585" s="1359"/>
      <c r="AG585" s="1359"/>
      <c r="AH585" s="1359"/>
      <c r="AI585" s="1359"/>
      <c r="AJ585" s="1359"/>
      <c r="AK585" s="1359"/>
      <c r="BB585" s="3"/>
      <c r="BC585" s="3"/>
    </row>
    <row r="586" spans="1:55" ht="13" customHeight="1">
      <c r="A586" s="22"/>
      <c r="B586" t="s">
        <v>85</v>
      </c>
      <c r="G586" s="1374" t="str">
        <f>G578</f>
        <v>110 W. Tasman Drive</v>
      </c>
      <c r="H586" s="1374"/>
      <c r="I586" s="1374"/>
      <c r="J586" s="1374"/>
      <c r="K586" s="1374"/>
      <c r="L586" s="1374"/>
      <c r="M586" s="1374"/>
      <c r="N586" s="1374"/>
      <c r="O586" s="1374"/>
      <c r="P586" s="1374"/>
      <c r="Q586" s="1374"/>
      <c r="R586" s="1374"/>
      <c r="T586" s="22"/>
      <c r="U586" t="s">
        <v>85</v>
      </c>
      <c r="Z586" s="1374" t="s">
        <v>2672</v>
      </c>
      <c r="AA586" s="1374"/>
      <c r="AB586" s="1374"/>
      <c r="AC586" s="1374"/>
      <c r="AD586" s="1374"/>
      <c r="AE586" s="1374"/>
      <c r="AF586" s="1374"/>
      <c r="AG586" s="1374"/>
      <c r="AH586" s="1374"/>
      <c r="AI586" s="1374"/>
      <c r="AJ586" s="1374"/>
      <c r="AK586" s="1374"/>
      <c r="BB586" s="3"/>
      <c r="BC586" s="3"/>
    </row>
    <row r="587" spans="1:55" ht="13" customHeight="1">
      <c r="A587" s="22"/>
      <c r="B587" t="s">
        <v>580</v>
      </c>
      <c r="G587" s="1374" t="str">
        <f>G579</f>
        <v>San Jose</v>
      </c>
      <c r="H587" s="1374"/>
      <c r="I587" s="1374"/>
      <c r="J587" s="1374"/>
      <c r="K587" s="1374"/>
      <c r="L587" s="1374"/>
      <c r="M587" s="1374"/>
      <c r="N587" s="1374"/>
      <c r="O587" s="1374"/>
      <c r="P587" s="1374"/>
      <c r="Q587" s="1374"/>
      <c r="R587" s="1374"/>
      <c r="T587" s="22"/>
      <c r="U587" t="s">
        <v>580</v>
      </c>
      <c r="Z587" s="1349" t="s">
        <v>2635</v>
      </c>
      <c r="AA587" s="1349"/>
      <c r="AB587" s="1349"/>
      <c r="AC587" s="1349"/>
      <c r="AD587" s="1349"/>
      <c r="AE587" s="1349"/>
      <c r="AF587" s="1349"/>
      <c r="AG587" s="1349"/>
      <c r="AH587" s="1349"/>
      <c r="AI587" s="1349"/>
      <c r="AJ587" s="1349"/>
      <c r="AK587" s="1349"/>
      <c r="BB587" s="3"/>
      <c r="BC587" s="3"/>
    </row>
    <row r="588" spans="1:55" ht="13" customHeight="1">
      <c r="A588" s="22"/>
      <c r="B588" t="s">
        <v>17</v>
      </c>
      <c r="G588" s="1374" t="s">
        <v>2706</v>
      </c>
      <c r="H588" s="1374"/>
      <c r="I588" s="1374"/>
      <c r="J588" s="1374"/>
      <c r="K588" s="1374"/>
      <c r="L588" s="1374"/>
      <c r="M588" s="1374"/>
      <c r="N588" s="1374"/>
      <c r="O588" s="1374"/>
      <c r="P588" s="1374"/>
      <c r="Q588" s="1374"/>
      <c r="R588" s="1374"/>
      <c r="T588" s="22"/>
      <c r="U588" t="s">
        <v>17</v>
      </c>
      <c r="Z588" s="1349" t="s">
        <v>2709</v>
      </c>
      <c r="AA588" s="1349"/>
      <c r="AB588" s="1349"/>
      <c r="AC588" s="1349"/>
      <c r="AD588" s="1349"/>
      <c r="AE588" s="1349"/>
      <c r="AF588" s="1349"/>
      <c r="AG588" s="1349"/>
      <c r="AH588" s="1349"/>
      <c r="AI588" s="1349"/>
      <c r="AJ588" s="1349"/>
      <c r="AK588" s="1349"/>
    </row>
    <row r="589" spans="1:55" ht="13" customHeight="1">
      <c r="A589" s="22"/>
      <c r="B589" t="s">
        <v>315</v>
      </c>
      <c r="G589" s="1347" t="str">
        <f>G581</f>
        <v>408-278-6411</v>
      </c>
      <c r="H589" s="1347"/>
      <c r="I589" s="1347"/>
      <c r="J589" s="1347"/>
      <c r="K589" s="1347"/>
      <c r="L589" s="1347"/>
      <c r="O589" s="33" t="s">
        <v>205</v>
      </c>
      <c r="P589" s="1438"/>
      <c r="Q589" s="1438"/>
      <c r="R589" s="1438"/>
      <c r="T589" s="22"/>
      <c r="U589" t="s">
        <v>315</v>
      </c>
      <c r="Z589" s="1346" t="s">
        <v>2626</v>
      </c>
      <c r="AA589" s="1347"/>
      <c r="AB589" s="1347"/>
      <c r="AC589" s="1347"/>
      <c r="AD589" s="1347"/>
      <c r="AE589" s="1347"/>
      <c r="AH589" s="33" t="s">
        <v>205</v>
      </c>
      <c r="AI589" s="1438"/>
      <c r="AJ589" s="1438"/>
      <c r="AK589" s="1438"/>
      <c r="AZ589" s="3"/>
      <c r="BA589" s="3"/>
      <c r="BB589" s="3"/>
      <c r="BC589" s="3"/>
    </row>
    <row r="590" spans="1:55" ht="13" customHeight="1">
      <c r="A590" s="22"/>
      <c r="B590" t="s">
        <v>18</v>
      </c>
      <c r="H590" s="1374" t="str">
        <f>H582</f>
        <v>Construction / Perm</v>
      </c>
      <c r="I590" s="1374"/>
      <c r="J590" s="1374"/>
      <c r="K590" s="1374"/>
      <c r="L590" s="1374"/>
      <c r="M590" s="1374"/>
      <c r="N590" s="1374"/>
      <c r="O590" s="1374"/>
      <c r="P590" s="1374"/>
      <c r="Q590" s="1374"/>
      <c r="R590" s="1374"/>
      <c r="T590" s="22"/>
      <c r="U590" t="s">
        <v>18</v>
      </c>
      <c r="AA590" s="1373" t="s">
        <v>2714</v>
      </c>
      <c r="AB590" s="1374"/>
      <c r="AC590" s="1374"/>
      <c r="AD590" s="1374"/>
      <c r="AE590" s="1374"/>
      <c r="AF590" s="1374"/>
      <c r="AG590" s="1374"/>
      <c r="AH590" s="1374"/>
      <c r="AI590" s="1374"/>
      <c r="AJ590" s="1374"/>
      <c r="AK590" s="1374"/>
      <c r="AZ590" s="3"/>
      <c r="BA590" s="3"/>
      <c r="BB590" s="3"/>
      <c r="BC590" s="3"/>
    </row>
    <row r="591" spans="1:55" ht="13" customHeight="1">
      <c r="A591" s="22"/>
      <c r="B591" t="s">
        <v>20</v>
      </c>
      <c r="N591" s="1332" t="s">
        <v>545</v>
      </c>
      <c r="O591" s="1332"/>
      <c r="T591" s="22"/>
      <c r="U591" t="s">
        <v>20</v>
      </c>
      <c r="AG591" s="1332" t="s">
        <v>545</v>
      </c>
      <c r="AH591" s="1332"/>
      <c r="AZ591" s="3"/>
      <c r="BA591" s="3"/>
      <c r="BB591" s="3"/>
      <c r="BC591" s="3"/>
    </row>
    <row r="592" spans="1:55" ht="13" customHeight="1">
      <c r="A592" s="22"/>
      <c r="T592" s="22"/>
      <c r="AZ592" s="3"/>
      <c r="BA592" s="3"/>
      <c r="BB592" s="3"/>
      <c r="BC592" s="3"/>
    </row>
    <row r="593" spans="1:55" ht="13" customHeight="1">
      <c r="A593" s="55" t="s">
        <v>455</v>
      </c>
      <c r="B593" t="s">
        <v>463</v>
      </c>
      <c r="G593" s="1359" t="str">
        <f>C560</f>
        <v>Deferred Developer Fee</v>
      </c>
      <c r="H593" s="1359"/>
      <c r="I593" s="1359"/>
      <c r="J593" s="1359"/>
      <c r="K593" s="1359"/>
      <c r="L593" s="1359"/>
      <c r="M593" s="1359"/>
      <c r="N593" s="1359"/>
      <c r="O593" s="1359"/>
      <c r="P593" s="1359"/>
      <c r="Q593" s="1359"/>
      <c r="R593" s="1359"/>
      <c r="T593" s="55" t="s">
        <v>456</v>
      </c>
      <c r="U593" t="s">
        <v>463</v>
      </c>
      <c r="Z593" s="1359" t="str">
        <f>C561</f>
        <v>LIHTC Equity During Construction</v>
      </c>
      <c r="AA593" s="1359"/>
      <c r="AB593" s="1359"/>
      <c r="AC593" s="1359"/>
      <c r="AD593" s="1359"/>
      <c r="AE593" s="1359"/>
      <c r="AF593" s="1359"/>
      <c r="AG593" s="1359"/>
      <c r="AH593" s="1359"/>
      <c r="AI593" s="1359"/>
      <c r="AJ593" s="1359"/>
      <c r="AK593" s="1359"/>
      <c r="AZ593" s="3"/>
      <c r="BA593" s="3"/>
      <c r="BB593" s="3"/>
      <c r="BC593" s="3"/>
    </row>
    <row r="594" spans="1:55" s="4" customFormat="1" ht="13" customHeight="1">
      <c r="A594" s="22"/>
      <c r="B594" t="s">
        <v>85</v>
      </c>
      <c r="C594"/>
      <c r="D594"/>
      <c r="E594"/>
      <c r="F594"/>
      <c r="G594" s="1374" t="str">
        <f>Z586</f>
        <v>1400 Parkmoor Ave. Suite 190</v>
      </c>
      <c r="H594" s="1374"/>
      <c r="I594" s="1374"/>
      <c r="J594" s="1374"/>
      <c r="K594" s="1374"/>
      <c r="L594" s="1374"/>
      <c r="M594" s="1374"/>
      <c r="N594" s="1374"/>
      <c r="O594" s="1374"/>
      <c r="P594" s="1374"/>
      <c r="Q594" s="1374"/>
      <c r="R594" s="1374"/>
      <c r="S594"/>
      <c r="T594" s="22"/>
      <c r="U594" t="s">
        <v>85</v>
      </c>
      <c r="V594"/>
      <c r="W594"/>
      <c r="X594"/>
      <c r="Y594"/>
      <c r="Z594" s="1374" t="s">
        <v>2710</v>
      </c>
      <c r="AA594" s="1374"/>
      <c r="AB594" s="1374"/>
      <c r="AC594" s="1374"/>
      <c r="AD594" s="1374"/>
      <c r="AE594" s="1374"/>
      <c r="AF594" s="1374"/>
      <c r="AG594" s="1374"/>
      <c r="AH594" s="1374"/>
      <c r="AI594" s="1374"/>
      <c r="AJ594" s="1374"/>
      <c r="AK594" s="1374"/>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4" t="str">
        <f>G587</f>
        <v>San Jose</v>
      </c>
      <c r="H595" s="1374"/>
      <c r="I595" s="1374"/>
      <c r="J595" s="1374"/>
      <c r="K595" s="1374"/>
      <c r="L595" s="1374"/>
      <c r="M595" s="1374"/>
      <c r="N595" s="1374"/>
      <c r="O595" s="1374"/>
      <c r="P595" s="1374"/>
      <c r="Q595" s="1374"/>
      <c r="R595" s="1374"/>
      <c r="S595"/>
      <c r="T595" s="22"/>
      <c r="U595" t="s">
        <v>580</v>
      </c>
      <c r="V595"/>
      <c r="W595"/>
      <c r="X595"/>
      <c r="Y595"/>
      <c r="Z595" s="1349" t="s">
        <v>2663</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4" t="str">
        <f>Z588</f>
        <v>Marvel Ang</v>
      </c>
      <c r="H596" s="1374"/>
      <c r="I596" s="1374"/>
      <c r="J596" s="1374"/>
      <c r="K596" s="1374"/>
      <c r="L596" s="1374"/>
      <c r="M596" s="1374"/>
      <c r="N596" s="1374"/>
      <c r="O596" s="1374"/>
      <c r="P596" s="1374"/>
      <c r="Q596" s="1374"/>
      <c r="R596" s="1374"/>
      <c r="S596"/>
      <c r="T596" s="22"/>
      <c r="U596" t="s">
        <v>17</v>
      </c>
      <c r="V596"/>
      <c r="W596"/>
      <c r="X596"/>
      <c r="Y596"/>
      <c r="Z596" s="1349" t="s">
        <v>2663</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7" t="str">
        <f>Z589</f>
        <v>408-930-2015</v>
      </c>
      <c r="H597" s="1347"/>
      <c r="I597" s="1347"/>
      <c r="J597" s="1347"/>
      <c r="K597" s="1347"/>
      <c r="L597" s="1347"/>
      <c r="M597"/>
      <c r="N597"/>
      <c r="O597" s="33" t="s">
        <v>205</v>
      </c>
      <c r="P597" s="1438"/>
      <c r="Q597" s="1438"/>
      <c r="R597" s="1438"/>
      <c r="S597"/>
      <c r="T597" s="22"/>
      <c r="U597" t="s">
        <v>315</v>
      </c>
      <c r="V597"/>
      <c r="W597"/>
      <c r="X597"/>
      <c r="Y597"/>
      <c r="Z597" s="1347"/>
      <c r="AA597" s="1347"/>
      <c r="AB597" s="1347"/>
      <c r="AC597" s="1347"/>
      <c r="AD597" s="1347"/>
      <c r="AE597" s="1347"/>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4" t="str">
        <f>G593</f>
        <v>Deferred Developer Fee</v>
      </c>
      <c r="I598" s="1374"/>
      <c r="J598" s="1374"/>
      <c r="K598" s="1374"/>
      <c r="L598" s="1374"/>
      <c r="M598" s="1374"/>
      <c r="N598" s="1374"/>
      <c r="O598" s="1374"/>
      <c r="P598" s="1374"/>
      <c r="Q598" s="1374"/>
      <c r="R598" s="1374"/>
      <c r="S598"/>
      <c r="T598" s="22"/>
      <c r="U598" t="s">
        <v>18</v>
      </c>
      <c r="V598"/>
      <c r="W598"/>
      <c r="X598"/>
      <c r="Y598"/>
      <c r="Z598"/>
      <c r="AA598" s="1373" t="s">
        <v>2751</v>
      </c>
      <c r="AB598" s="1374"/>
      <c r="AC598" s="1374"/>
      <c r="AD598" s="1374"/>
      <c r="AE598" s="1374"/>
      <c r="AF598" s="1374"/>
      <c r="AG598" s="1374"/>
      <c r="AH598" s="1374"/>
      <c r="AI598" s="1374"/>
      <c r="AJ598" s="1374"/>
      <c r="AK598" s="1374"/>
      <c r="AL598"/>
      <c r="AM598"/>
      <c r="AN598"/>
      <c r="AO598"/>
      <c r="AP598"/>
      <c r="AQ598"/>
      <c r="AR598"/>
      <c r="AS598"/>
      <c r="AT598"/>
      <c r="AU598"/>
      <c r="AV598"/>
      <c r="AW598"/>
      <c r="AX598"/>
      <c r="AY598"/>
      <c r="BB598" s="3"/>
      <c r="BC598" s="3"/>
    </row>
    <row r="599" spans="1:55" ht="13" customHeight="1">
      <c r="A599" s="22"/>
      <c r="B599" t="s">
        <v>20</v>
      </c>
      <c r="N599" s="1332" t="s">
        <v>545</v>
      </c>
      <c r="O599" s="1332"/>
      <c r="T599" s="22"/>
      <c r="U599" t="s">
        <v>20</v>
      </c>
      <c r="AG599" s="1332" t="s">
        <v>669</v>
      </c>
      <c r="AH599" s="1332"/>
      <c r="BB599" s="3"/>
      <c r="BC599" s="3"/>
    </row>
    <row r="600" spans="1:55" ht="13" customHeight="1">
      <c r="A600" s="22"/>
      <c r="T600" s="22"/>
      <c r="BB600" s="3"/>
      <c r="BC600" s="3"/>
    </row>
    <row r="601" spans="1:55" ht="13" customHeight="1">
      <c r="A601" s="55" t="s">
        <v>461</v>
      </c>
      <c r="B601" t="s">
        <v>463</v>
      </c>
      <c r="G601" s="1359">
        <f>C562</f>
        <v>0</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3" customHeight="1">
      <c r="A602" s="22"/>
      <c r="B602" t="s">
        <v>85</v>
      </c>
      <c r="G602" s="1374"/>
      <c r="H602" s="1374"/>
      <c r="I602" s="1374"/>
      <c r="J602" s="1374"/>
      <c r="K602" s="1374"/>
      <c r="L602" s="1374"/>
      <c r="M602" s="1374"/>
      <c r="N602" s="1374"/>
      <c r="O602" s="1374"/>
      <c r="P602" s="1374"/>
      <c r="Q602" s="1374"/>
      <c r="R602" s="1374"/>
      <c r="T602" s="22"/>
      <c r="U602" t="s">
        <v>85</v>
      </c>
      <c r="Z602" s="1374"/>
      <c r="AA602" s="1374"/>
      <c r="AB602" s="1374"/>
      <c r="AC602" s="1374"/>
      <c r="AD602" s="1374"/>
      <c r="AE602" s="1374"/>
      <c r="AF602" s="1374"/>
      <c r="AG602" s="1374"/>
      <c r="AH602" s="1374"/>
      <c r="AI602" s="1374"/>
      <c r="AJ602" s="1374"/>
      <c r="AK602" s="1374"/>
      <c r="AZ602" s="3"/>
      <c r="BA602" s="3"/>
      <c r="BB602" s="3"/>
      <c r="BC602" s="3"/>
    </row>
    <row r="603" spans="1:55" ht="13" customHeight="1">
      <c r="A603" s="22"/>
      <c r="B603" t="s">
        <v>580</v>
      </c>
      <c r="G603" s="1374"/>
      <c r="H603" s="1374"/>
      <c r="I603" s="1374"/>
      <c r="J603" s="1374"/>
      <c r="K603" s="1374"/>
      <c r="L603" s="1374"/>
      <c r="M603" s="1374"/>
      <c r="N603" s="1374"/>
      <c r="O603" s="1374"/>
      <c r="P603" s="1374"/>
      <c r="Q603" s="1374"/>
      <c r="R603" s="1374"/>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3" customHeight="1">
      <c r="A604" s="22"/>
      <c r="B604" t="s">
        <v>17</v>
      </c>
      <c r="G604" s="1374"/>
      <c r="H604" s="1374"/>
      <c r="I604" s="1374"/>
      <c r="J604" s="1374"/>
      <c r="K604" s="1374"/>
      <c r="L604" s="1374"/>
      <c r="M604" s="1374"/>
      <c r="N604" s="1374"/>
      <c r="O604" s="1374"/>
      <c r="P604" s="1374"/>
      <c r="Q604" s="1374"/>
      <c r="R604" s="1374"/>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3" customHeight="1">
      <c r="A605" s="22"/>
      <c r="B605" t="s">
        <v>315</v>
      </c>
      <c r="C605"/>
      <c r="D605"/>
      <c r="E605"/>
      <c r="F605"/>
      <c r="G605" s="1347"/>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4"/>
      <c r="I606" s="1374"/>
      <c r="J606" s="1374"/>
      <c r="K606" s="1374"/>
      <c r="L606" s="1374"/>
      <c r="M606" s="1374"/>
      <c r="N606" s="1374"/>
      <c r="O606" s="1374"/>
      <c r="P606" s="1374"/>
      <c r="Q606" s="1374"/>
      <c r="R606" s="1374"/>
      <c r="S606"/>
      <c r="T606" s="22"/>
      <c r="U606" t="s">
        <v>18</v>
      </c>
      <c r="V606"/>
      <c r="W606"/>
      <c r="X606"/>
      <c r="Y606"/>
      <c r="Z606"/>
      <c r="AA606" s="1374">
        <f>Z601</f>
        <v>0</v>
      </c>
      <c r="AB606" s="1374"/>
      <c r="AC606" s="1374"/>
      <c r="AD606" s="1374"/>
      <c r="AE606" s="1374"/>
      <c r="AF606" s="1374"/>
      <c r="AG606" s="1374"/>
      <c r="AH606" s="1374"/>
      <c r="AI606" s="1374"/>
      <c r="AJ606" s="1374"/>
      <c r="AK606" s="1374"/>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59">
        <f>C564</f>
        <v>0</v>
      </c>
      <c r="H609" s="1359"/>
      <c r="I609" s="1359"/>
      <c r="J609" s="1359"/>
      <c r="K609" s="1359"/>
      <c r="L609" s="1359"/>
      <c r="M609" s="1359"/>
      <c r="N609" s="1359"/>
      <c r="O609" s="1359"/>
      <c r="P609" s="1359"/>
      <c r="Q609" s="1359"/>
      <c r="R609" s="1359"/>
      <c r="T609" s="55" t="s">
        <v>362</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3" customHeight="1">
      <c r="B610" t="s">
        <v>85</v>
      </c>
      <c r="G610" s="1374"/>
      <c r="H610" s="1374"/>
      <c r="I610" s="1374"/>
      <c r="J610" s="1374"/>
      <c r="K610" s="1374"/>
      <c r="L610" s="1374"/>
      <c r="M610" s="1374"/>
      <c r="N610" s="1374"/>
      <c r="O610" s="1374"/>
      <c r="P610" s="1374"/>
      <c r="Q610" s="1374"/>
      <c r="R610" s="1374"/>
      <c r="U610" t="s">
        <v>85</v>
      </c>
      <c r="Z610" s="1374"/>
      <c r="AA610" s="1374"/>
      <c r="AB610" s="1374"/>
      <c r="AC610" s="1374"/>
      <c r="AD610" s="1374"/>
      <c r="AE610" s="1374"/>
      <c r="AF610" s="1374"/>
      <c r="AG610" s="1374"/>
      <c r="AH610" s="1374"/>
      <c r="AI610" s="1374"/>
      <c r="AJ610" s="1374"/>
      <c r="AK610" s="1374"/>
      <c r="AZ610" s="3"/>
      <c r="BA610" s="3"/>
      <c r="BB610" s="3"/>
      <c r="BC610" s="3"/>
    </row>
    <row r="611" spans="1:55" ht="13" customHeight="1">
      <c r="B611" t="s">
        <v>580</v>
      </c>
      <c r="G611" s="1374"/>
      <c r="H611" s="1374"/>
      <c r="I611" s="1374"/>
      <c r="J611" s="1374"/>
      <c r="K611" s="1374"/>
      <c r="L611" s="1374"/>
      <c r="M611" s="1374"/>
      <c r="N611" s="1374"/>
      <c r="O611" s="1374"/>
      <c r="P611" s="1374"/>
      <c r="Q611" s="1374"/>
      <c r="R611" s="1374"/>
      <c r="U611" t="s">
        <v>580</v>
      </c>
      <c r="Z611" s="1349"/>
      <c r="AA611" s="1349"/>
      <c r="AB611" s="1349"/>
      <c r="AC611" s="1349"/>
      <c r="AD611" s="1349"/>
      <c r="AE611" s="1349"/>
      <c r="AF611" s="1349"/>
      <c r="AG611" s="1349"/>
      <c r="AH611" s="1349"/>
      <c r="AI611" s="1349"/>
      <c r="AJ611" s="1349"/>
      <c r="AK611" s="1349"/>
      <c r="AZ611" s="3"/>
      <c r="BA611" s="3"/>
      <c r="BB611" s="3"/>
      <c r="BC611" s="3"/>
    </row>
    <row r="612" spans="1:55" ht="13" customHeight="1">
      <c r="B612" t="s">
        <v>17</v>
      </c>
      <c r="G612" s="1374"/>
      <c r="H612" s="1374"/>
      <c r="I612" s="1374"/>
      <c r="J612" s="1374"/>
      <c r="K612" s="1374"/>
      <c r="L612" s="1374"/>
      <c r="M612" s="1374"/>
      <c r="N612" s="1374"/>
      <c r="O612" s="1374"/>
      <c r="P612" s="1374"/>
      <c r="Q612" s="1374"/>
      <c r="R612" s="1374"/>
      <c r="U612" t="s">
        <v>17</v>
      </c>
      <c r="Z612" s="1349"/>
      <c r="AA612" s="1349"/>
      <c r="AB612" s="1349"/>
      <c r="AC612" s="1349"/>
      <c r="AD612" s="1349"/>
      <c r="AE612" s="1349"/>
      <c r="AF612" s="1349"/>
      <c r="AG612" s="1349"/>
      <c r="AH612" s="1349"/>
      <c r="AI612" s="1349"/>
      <c r="AJ612" s="1349"/>
      <c r="AK612" s="1349"/>
      <c r="AZ612" s="3"/>
      <c r="BA612" s="3"/>
      <c r="BB612" s="3"/>
      <c r="BC612" s="3"/>
    </row>
    <row r="613" spans="1:55" ht="13"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3" customHeight="1">
      <c r="B614" t="s">
        <v>18</v>
      </c>
      <c r="H614" s="1374"/>
      <c r="I614" s="1374"/>
      <c r="J614" s="1374"/>
      <c r="K614" s="1374"/>
      <c r="L614" s="1374"/>
      <c r="M614" s="1374"/>
      <c r="N614" s="1374"/>
      <c r="O614" s="1374"/>
      <c r="P614" s="1374"/>
      <c r="Q614" s="1374"/>
      <c r="R614" s="1374"/>
      <c r="U614" t="s">
        <v>18</v>
      </c>
      <c r="AA614" s="1374"/>
      <c r="AB614" s="1374"/>
      <c r="AC614" s="1374"/>
      <c r="AD614" s="1374"/>
      <c r="AE614" s="1374"/>
      <c r="AF614" s="1374"/>
      <c r="AG614" s="1374"/>
      <c r="AH614" s="1374"/>
      <c r="AI614" s="1374"/>
      <c r="AJ614" s="1374"/>
      <c r="AK614" s="1374"/>
      <c r="AU614" s="899"/>
      <c r="AV614" s="899"/>
      <c r="AW614" s="899"/>
      <c r="AX614" s="899"/>
      <c r="AY614" s="899"/>
      <c r="AZ614" s="3"/>
      <c r="BA614" s="3"/>
      <c r="BB614" s="3"/>
      <c r="BC614" s="3"/>
    </row>
    <row r="615" spans="1:55" ht="13" customHeight="1">
      <c r="B615" t="s">
        <v>20</v>
      </c>
      <c r="N615" s="1332" t="s">
        <v>669</v>
      </c>
      <c r="O615" s="1332"/>
      <c r="U615" t="s">
        <v>20</v>
      </c>
      <c r="AG615" s="1332" t="s">
        <v>669</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701" t="s">
        <v>2103</v>
      </c>
      <c r="C624" s="1701"/>
      <c r="D624" s="1701"/>
      <c r="E624" s="1701"/>
      <c r="F624" s="1701"/>
      <c r="G624" s="1701"/>
      <c r="H624" s="1701"/>
      <c r="I624" s="1701"/>
      <c r="J624" s="1701"/>
      <c r="K624" s="1701"/>
      <c r="L624" s="1701"/>
      <c r="M624" s="1443" t="s">
        <v>2104</v>
      </c>
      <c r="N624" s="1443"/>
      <c r="O624" s="1443"/>
      <c r="P624" s="1443"/>
      <c r="Q624" s="1443" t="s">
        <v>1853</v>
      </c>
      <c r="R624" s="1443"/>
      <c r="S624" s="1443"/>
      <c r="T624" s="1443" t="s">
        <v>1851</v>
      </c>
      <c r="U624" s="1443"/>
      <c r="V624" s="1443"/>
      <c r="W624" s="1702" t="s">
        <v>453</v>
      </c>
      <c r="X624" s="1702"/>
      <c r="Y624" s="1702"/>
      <c r="Z624" s="1432" t="s">
        <v>2133</v>
      </c>
      <c r="AA624" s="1432"/>
      <c r="AB624" s="1433"/>
      <c r="AC624" s="1683" t="s">
        <v>1676</v>
      </c>
      <c r="AD624" s="1684"/>
      <c r="AE624" s="1685"/>
      <c r="AF624" s="1673" t="s">
        <v>1931</v>
      </c>
      <c r="AG624" s="1432"/>
      <c r="AH624" s="1432"/>
      <c r="AI624" s="1432"/>
      <c r="AJ624" s="1433"/>
      <c r="AK624" s="1735" t="s">
        <v>1932</v>
      </c>
      <c r="AL624" s="1736"/>
      <c r="AM624" s="1736"/>
      <c r="AN624" s="1737"/>
      <c r="AO624" s="1443" t="s">
        <v>454</v>
      </c>
      <c r="AP624" s="1443"/>
      <c r="AQ624" s="1443"/>
      <c r="AR624" s="1443"/>
      <c r="AS624" s="1443"/>
      <c r="AU624" s="3"/>
      <c r="AZ624" s="3"/>
      <c r="BA624" s="3"/>
      <c r="BB624" s="3"/>
      <c r="BC624" s="3"/>
    </row>
    <row r="625" spans="2:157" ht="13"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8"/>
      <c r="AL625" s="1739"/>
      <c r="AM625" s="1739"/>
      <c r="AN625" s="1740"/>
      <c r="AO625" s="1443"/>
      <c r="AP625" s="1443"/>
      <c r="AQ625" s="1443"/>
      <c r="AR625" s="1443"/>
      <c r="AS625" s="1443"/>
      <c r="AU625" s="3"/>
      <c r="AZ625" s="3"/>
      <c r="BA625" s="3"/>
      <c r="BB625" s="3"/>
      <c r="BC625" s="3"/>
      <c r="BD625" s="3"/>
    </row>
    <row r="626" spans="2:157" ht="13"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1"/>
      <c r="AL626" s="1742"/>
      <c r="AM626" s="1742"/>
      <c r="AN626" s="1743"/>
      <c r="AO626" s="1443"/>
      <c r="AP626" s="1443"/>
      <c r="AQ626" s="1443"/>
      <c r="AR626" s="1443"/>
      <c r="AS626" s="1443"/>
      <c r="AT626" s="3"/>
      <c r="AU626" s="3"/>
      <c r="AZ626" s="3"/>
      <c r="BA626" s="3"/>
      <c r="BB626" s="3"/>
      <c r="BC626" s="3"/>
      <c r="BD626" s="3"/>
    </row>
    <row r="627" spans="2:157" ht="13" customHeight="1">
      <c r="B627" s="51" t="s">
        <v>112</v>
      </c>
      <c r="C627" s="1693" t="s">
        <v>2730</v>
      </c>
      <c r="D627" s="1693"/>
      <c r="E627" s="1693"/>
      <c r="F627" s="1693"/>
      <c r="G627" s="1693"/>
      <c r="H627" s="1693"/>
      <c r="I627" s="1693"/>
      <c r="J627" s="1693"/>
      <c r="K627" s="1693"/>
      <c r="L627" s="1693"/>
      <c r="M627" s="1619" t="s">
        <v>2120</v>
      </c>
      <c r="N627" s="1619"/>
      <c r="O627" s="1619"/>
      <c r="P627" s="1619"/>
      <c r="Q627" s="1427">
        <v>360</v>
      </c>
      <c r="R627" s="1427"/>
      <c r="S627" s="1428"/>
      <c r="T627" s="1426">
        <v>480</v>
      </c>
      <c r="U627" s="1427"/>
      <c r="V627" s="1428"/>
      <c r="W627" s="1439">
        <v>6.8629999999999997E-2</v>
      </c>
      <c r="X627" s="1440"/>
      <c r="Y627" s="1441"/>
      <c r="Z627" s="1479" t="s">
        <v>2132</v>
      </c>
      <c r="AA627" s="1480"/>
      <c r="AB627" s="1481"/>
      <c r="AC627" s="1447">
        <v>1</v>
      </c>
      <c r="AD627" s="1448"/>
      <c r="AE627" s="1449"/>
      <c r="AF627" s="1476">
        <v>1871794</v>
      </c>
      <c r="AG627" s="1477"/>
      <c r="AH627" s="1477"/>
      <c r="AI627" s="1477"/>
      <c r="AJ627" s="1478"/>
      <c r="AK627" s="1429"/>
      <c r="AL627" s="1430"/>
      <c r="AM627" s="1430"/>
      <c r="AN627" s="1431"/>
      <c r="AO627" s="1482">
        <v>25508000</v>
      </c>
      <c r="AP627" s="1482"/>
      <c r="AQ627" s="1482"/>
      <c r="AR627" s="1482"/>
      <c r="AS627" s="1482"/>
      <c r="AT627" s="3"/>
      <c r="AU627" s="3"/>
      <c r="AZ627" s="3"/>
      <c r="BA627" s="3"/>
      <c r="BB627" s="3"/>
      <c r="BC627" s="3"/>
      <c r="BD627" s="3"/>
    </row>
    <row r="628" spans="2:157" ht="13" customHeight="1">
      <c r="B628" s="52" t="s">
        <v>113</v>
      </c>
      <c r="C628" s="1693" t="str">
        <f>C556</f>
        <v>County of Santa Clara</v>
      </c>
      <c r="D628" s="1693"/>
      <c r="E628" s="1693"/>
      <c r="F628" s="1693"/>
      <c r="G628" s="1693"/>
      <c r="H628" s="1693"/>
      <c r="I628" s="1693"/>
      <c r="J628" s="1693"/>
      <c r="K628" s="1693"/>
      <c r="L628" s="1693"/>
      <c r="M628" s="1619" t="s">
        <v>2116</v>
      </c>
      <c r="N628" s="1619"/>
      <c r="O628" s="1619"/>
      <c r="P628" s="1619"/>
      <c r="Q628" s="1426">
        <f>55*12</f>
        <v>660</v>
      </c>
      <c r="R628" s="1427"/>
      <c r="S628" s="1428"/>
      <c r="T628" s="1426">
        <v>660</v>
      </c>
      <c r="U628" s="1427"/>
      <c r="V628" s="1428"/>
      <c r="W628" s="1439">
        <v>0.03</v>
      </c>
      <c r="X628" s="1440"/>
      <c r="Y628" s="1441"/>
      <c r="Z628" s="1479" t="s">
        <v>457</v>
      </c>
      <c r="AA628" s="1480"/>
      <c r="AB628" s="1481"/>
      <c r="AC628" s="1447">
        <v>2</v>
      </c>
      <c r="AD628" s="1448"/>
      <c r="AE628" s="1449"/>
      <c r="AF628" s="1476"/>
      <c r="AG628" s="1477"/>
      <c r="AH628" s="1477"/>
      <c r="AI628" s="1477"/>
      <c r="AJ628" s="1478"/>
      <c r="AK628" s="1429"/>
      <c r="AL628" s="1430"/>
      <c r="AM628" s="1430"/>
      <c r="AN628" s="1431"/>
      <c r="AO628" s="1467">
        <f>AM556</f>
        <v>2500000</v>
      </c>
      <c r="AP628" s="1468"/>
      <c r="AQ628" s="1468"/>
      <c r="AR628" s="1468"/>
      <c r="AS628" s="1469"/>
      <c r="AT628" s="1148" t="str">
        <f>IF(AND(NOT(C627=""),C628="",NOT(C629="")),"!","")</f>
        <v/>
      </c>
      <c r="AU628" s="3"/>
      <c r="AZ628" s="3"/>
      <c r="BA628" s="3"/>
      <c r="BB628" s="3"/>
      <c r="BC628" s="3"/>
      <c r="BD628" s="3"/>
    </row>
    <row r="629" spans="2:157" ht="13" customHeight="1">
      <c r="B629" s="52" t="s">
        <v>119</v>
      </c>
      <c r="C629" s="1693" t="str">
        <f>C557</f>
        <v xml:space="preserve">City of Palo Alto </v>
      </c>
      <c r="D629" s="1693"/>
      <c r="E629" s="1693"/>
      <c r="F629" s="1693"/>
      <c r="G629" s="1693"/>
      <c r="H629" s="1693"/>
      <c r="I629" s="1693"/>
      <c r="J629" s="1693"/>
      <c r="K629" s="1693"/>
      <c r="L629" s="1693"/>
      <c r="M629" s="1619" t="s">
        <v>2116</v>
      </c>
      <c r="N629" s="1619"/>
      <c r="O629" s="1619"/>
      <c r="P629" s="1619"/>
      <c r="Q629" s="1426">
        <v>660</v>
      </c>
      <c r="R629" s="1427"/>
      <c r="S629" s="1428"/>
      <c r="T629" s="1426">
        <v>660</v>
      </c>
      <c r="U629" s="1427"/>
      <c r="V629" s="1428"/>
      <c r="W629" s="1439">
        <v>0.03</v>
      </c>
      <c r="X629" s="1440"/>
      <c r="Y629" s="1441"/>
      <c r="Z629" s="1479" t="s">
        <v>457</v>
      </c>
      <c r="AA629" s="1480"/>
      <c r="AB629" s="1481"/>
      <c r="AC629" s="1447">
        <v>2</v>
      </c>
      <c r="AD629" s="1448"/>
      <c r="AE629" s="1449"/>
      <c r="AF629" s="1476"/>
      <c r="AG629" s="1477"/>
      <c r="AH629" s="1477"/>
      <c r="AI629" s="1477"/>
      <c r="AJ629" s="1478"/>
      <c r="AK629" s="1429"/>
      <c r="AL629" s="1430"/>
      <c r="AM629" s="1430"/>
      <c r="AN629" s="1431"/>
      <c r="AO629" s="1467">
        <f>AM557</f>
        <v>5000000</v>
      </c>
      <c r="AP629" s="1468"/>
      <c r="AQ629" s="1468"/>
      <c r="AR629" s="1468"/>
      <c r="AS629" s="1469"/>
      <c r="AT629" s="1148" t="str">
        <f t="shared" ref="AT629:AT638" si="1">IF(AND(NOT(C628=""),C629="",NOT(C630="")),"!","")</f>
        <v/>
      </c>
      <c r="AU629" s="3"/>
      <c r="AZ629" s="3"/>
      <c r="BA629" s="3"/>
      <c r="BB629" s="3"/>
      <c r="BC629" s="3"/>
      <c r="BD629" s="3"/>
    </row>
    <row r="630" spans="2:157" ht="13" customHeight="1">
      <c r="B630" s="52" t="s">
        <v>581</v>
      </c>
      <c r="C630" s="1348" t="str">
        <f>C558</f>
        <v>Stanford Affordable Housing Fund</v>
      </c>
      <c r="D630" s="1348"/>
      <c r="E630" s="1348"/>
      <c r="F630" s="1348"/>
      <c r="G630" s="1348"/>
      <c r="H630" s="1348"/>
      <c r="I630" s="1348"/>
      <c r="J630" s="1348"/>
      <c r="K630" s="1348"/>
      <c r="L630" s="1348"/>
      <c r="M630" s="1619" t="s">
        <v>2116</v>
      </c>
      <c r="N630" s="1619"/>
      <c r="O630" s="1619"/>
      <c r="P630" s="1619"/>
      <c r="Q630" s="1426">
        <v>660</v>
      </c>
      <c r="R630" s="1427"/>
      <c r="S630" s="1428"/>
      <c r="T630" s="1426">
        <v>660</v>
      </c>
      <c r="U630" s="1427"/>
      <c r="V630" s="1428"/>
      <c r="W630" s="1439">
        <v>0.03</v>
      </c>
      <c r="X630" s="1440"/>
      <c r="Y630" s="1441"/>
      <c r="Z630" s="1479" t="s">
        <v>457</v>
      </c>
      <c r="AA630" s="1480"/>
      <c r="AB630" s="1481"/>
      <c r="AC630" s="1447">
        <v>2</v>
      </c>
      <c r="AD630" s="1448"/>
      <c r="AE630" s="1449"/>
      <c r="AF630" s="1476"/>
      <c r="AG630" s="1477"/>
      <c r="AH630" s="1477"/>
      <c r="AI630" s="1477"/>
      <c r="AJ630" s="1478"/>
      <c r="AK630" s="1429"/>
      <c r="AL630" s="1430"/>
      <c r="AM630" s="1430"/>
      <c r="AN630" s="1431"/>
      <c r="AO630" s="1467">
        <f>AM558</f>
        <v>3000000</v>
      </c>
      <c r="AP630" s="1468"/>
      <c r="AQ630" s="1468"/>
      <c r="AR630" s="1468"/>
      <c r="AS630" s="1469"/>
      <c r="AT630" s="1148" t="str">
        <f t="shared" si="1"/>
        <v/>
      </c>
      <c r="AU630" s="3"/>
      <c r="AZ630" s="3"/>
      <c r="BA630" s="3"/>
      <c r="BB630" s="3"/>
      <c r="BC630" s="3"/>
      <c r="BD630" s="3"/>
    </row>
    <row r="631" spans="2:157" ht="13" customHeight="1">
      <c r="B631" s="52" t="s">
        <v>763</v>
      </c>
      <c r="C631" s="1348" t="str">
        <f>C560</f>
        <v>Deferred Developer Fee</v>
      </c>
      <c r="D631" s="1348"/>
      <c r="E631" s="1348"/>
      <c r="F631" s="1348"/>
      <c r="G631" s="1348"/>
      <c r="H631" s="1348"/>
      <c r="I631" s="1348"/>
      <c r="J631" s="1348"/>
      <c r="K631" s="1348"/>
      <c r="L631" s="1348"/>
      <c r="M631" s="1619" t="s">
        <v>2107</v>
      </c>
      <c r="N631" s="1619"/>
      <c r="O631" s="1619"/>
      <c r="P631" s="1619"/>
      <c r="Q631" s="1426"/>
      <c r="R631" s="1427"/>
      <c r="S631" s="1428"/>
      <c r="T631" s="1426"/>
      <c r="U631" s="1427"/>
      <c r="V631" s="1428"/>
      <c r="W631" s="1439"/>
      <c r="X631" s="1440"/>
      <c r="Y631" s="1441"/>
      <c r="Z631" s="1479" t="s">
        <v>457</v>
      </c>
      <c r="AA631" s="1480"/>
      <c r="AB631" s="1481"/>
      <c r="AC631" s="1447"/>
      <c r="AD631" s="1448"/>
      <c r="AE631" s="1449"/>
      <c r="AF631" s="1476"/>
      <c r="AG631" s="1477"/>
      <c r="AH631" s="1477"/>
      <c r="AI631" s="1477"/>
      <c r="AJ631" s="1478"/>
      <c r="AK631" s="1429"/>
      <c r="AL631" s="1430"/>
      <c r="AM631" s="1430"/>
      <c r="AN631" s="1431"/>
      <c r="AO631" s="1467">
        <f>AM560</f>
        <v>8165392</v>
      </c>
      <c r="AP631" s="1468"/>
      <c r="AQ631" s="1468"/>
      <c r="AR631" s="1468"/>
      <c r="AS631" s="1469"/>
      <c r="AT631" s="1148" t="str">
        <f t="shared" si="1"/>
        <v/>
      </c>
      <c r="AU631" s="3"/>
      <c r="AZ631" s="3"/>
      <c r="BA631" s="3"/>
      <c r="BB631" s="3"/>
      <c r="BC631" s="3"/>
      <c r="BD631" s="3"/>
    </row>
    <row r="632" spans="2:157" ht="13" customHeight="1">
      <c r="B632" s="52" t="s">
        <v>584</v>
      </c>
      <c r="C632" s="1693">
        <v>0</v>
      </c>
      <c r="D632" s="1348"/>
      <c r="E632" s="1348"/>
      <c r="F632" s="1348"/>
      <c r="G632" s="1348"/>
      <c r="H632" s="1348"/>
      <c r="I632" s="1348"/>
      <c r="J632" s="1348"/>
      <c r="K632" s="1348"/>
      <c r="L632" s="1348"/>
      <c r="M632" s="1619" t="s">
        <v>1184</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v>0</v>
      </c>
      <c r="AP632" s="1468"/>
      <c r="AQ632" s="1468"/>
      <c r="AR632" s="1468"/>
      <c r="AS632" s="1469"/>
      <c r="AT632" s="1148" t="str">
        <f t="shared" si="1"/>
        <v/>
      </c>
      <c r="AU632" s="3"/>
      <c r="AZ632" s="3"/>
      <c r="BA632" s="3"/>
      <c r="BB632" s="3"/>
      <c r="BC632" s="3"/>
      <c r="BD632" s="3"/>
    </row>
    <row r="633" spans="2:157" ht="13" customHeight="1">
      <c r="B633" s="52" t="s">
        <v>455</v>
      </c>
      <c r="C633" s="1348">
        <f>C562</f>
        <v>0</v>
      </c>
      <c r="D633" s="1348"/>
      <c r="E633" s="1348"/>
      <c r="F633" s="1348"/>
      <c r="G633" s="1348"/>
      <c r="H633" s="1348"/>
      <c r="I633" s="1348"/>
      <c r="J633" s="1348"/>
      <c r="K633" s="1348"/>
      <c r="L633" s="1348"/>
      <c r="M633" s="1619" t="s">
        <v>2105</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456</v>
      </c>
      <c r="C634" s="1348">
        <f>C563</f>
        <v>0</v>
      </c>
      <c r="D634" s="1348"/>
      <c r="E634" s="1348"/>
      <c r="F634" s="1348"/>
      <c r="G634" s="1348"/>
      <c r="H634" s="1348"/>
      <c r="I634" s="1348"/>
      <c r="J634" s="1348"/>
      <c r="K634" s="1348"/>
      <c r="L634" s="1348"/>
      <c r="M634" s="1619" t="s">
        <v>2105</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1184</v>
      </c>
      <c r="BB634" s="3"/>
      <c r="BC634" s="3"/>
      <c r="BD634" s="3"/>
    </row>
    <row r="635" spans="2:157" ht="13" customHeight="1">
      <c r="B635" s="52" t="s">
        <v>461</v>
      </c>
      <c r="C635" s="1348"/>
      <c r="D635" s="1348"/>
      <c r="E635" s="1348"/>
      <c r="F635" s="1348"/>
      <c r="G635" s="1348"/>
      <c r="H635" s="1348"/>
      <c r="I635" s="1348"/>
      <c r="J635" s="1348"/>
      <c r="K635" s="1348"/>
      <c r="L635" s="1348"/>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502.5</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3" customHeight="1">
      <c r="B636" s="52" t="s">
        <v>646</v>
      </c>
      <c r="C636" s="1348"/>
      <c r="D636" s="1348"/>
      <c r="E636" s="1348"/>
      <c r="F636" s="1348"/>
      <c r="G636" s="1348"/>
      <c r="H636" s="1348"/>
      <c r="I636" s="1348"/>
      <c r="J636" s="1348"/>
      <c r="K636" s="1348"/>
      <c r="L636" s="1348"/>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321.3</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3" customHeight="1">
      <c r="B637" s="52" t="s">
        <v>361</v>
      </c>
      <c r="C637" s="1348"/>
      <c r="D637" s="1348"/>
      <c r="E637" s="1348"/>
      <c r="F637" s="1348"/>
      <c r="G637" s="1348"/>
      <c r="H637" s="1348"/>
      <c r="I637" s="1348"/>
      <c r="J637" s="1348"/>
      <c r="K637" s="1348"/>
      <c r="L637" s="1348"/>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f t="shared" si="4"/>
        <v>159.625</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3" customHeight="1">
      <c r="B638" s="52" t="s">
        <v>362</v>
      </c>
      <c r="C638" s="1348"/>
      <c r="D638" s="1348"/>
      <c r="E638" s="1348"/>
      <c r="F638" s="1348"/>
      <c r="G638" s="1348"/>
      <c r="H638" s="1348"/>
      <c r="I638" s="1348"/>
      <c r="J638" s="1348"/>
      <c r="K638" s="1348"/>
      <c r="L638" s="1348"/>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f t="shared" si="5"/>
        <v>183</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44173392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f t="shared" si="4"/>
        <v>638.5</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67866109</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t="e">
        <f t="shared" si="4"/>
        <v>#VALUE!</v>
      </c>
      <c r="EI640" s="1446"/>
      <c r="EJ640" s="1446"/>
      <c r="EK640" s="1446"/>
      <c r="EL640" s="1446"/>
      <c r="EM640" s="1446">
        <f t="shared" si="5"/>
        <v>732</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112039501</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f t="shared" si="2"/>
        <v>339</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f t="shared" si="3"/>
        <v>217.2</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3" customHeight="1">
      <c r="A643" s="55" t="s">
        <v>112</v>
      </c>
      <c r="B643" t="s">
        <v>463</v>
      </c>
      <c r="G643" s="1359" t="str">
        <f>C627</f>
        <v xml:space="preserve"> TE Perm Loan</v>
      </c>
      <c r="H643" s="1359"/>
      <c r="I643" s="1359"/>
      <c r="J643" s="1359"/>
      <c r="K643" s="1359"/>
      <c r="L643" s="1359"/>
      <c r="M643" s="1359"/>
      <c r="N643" s="1359"/>
      <c r="O643" s="1359"/>
      <c r="P643" s="1359"/>
      <c r="Q643" s="1359"/>
      <c r="R643" s="1359"/>
      <c r="S643" s="8"/>
      <c r="T643" s="55" t="s">
        <v>113</v>
      </c>
      <c r="U643" t="s">
        <v>463</v>
      </c>
      <c r="Z643" s="1359" t="str">
        <f>C628</f>
        <v>County of Santa Clara</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f t="shared" si="4"/>
        <v>54.03125</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3" customHeight="1">
      <c r="A644" s="22"/>
      <c r="B644" t="s">
        <v>85</v>
      </c>
      <c r="G644" s="1374" t="str">
        <f>H336</f>
        <v>2111 Palomar Airport Rd, ste 320</v>
      </c>
      <c r="H644" s="1374"/>
      <c r="I644" s="1374"/>
      <c r="J644" s="1374"/>
      <c r="K644" s="1374"/>
      <c r="L644" s="1374"/>
      <c r="M644" s="1374"/>
      <c r="N644" s="1374"/>
      <c r="O644" s="1374"/>
      <c r="P644" s="1374"/>
      <c r="Q644" s="1374"/>
      <c r="R644" s="1374"/>
      <c r="S644" s="8"/>
      <c r="T644" s="22"/>
      <c r="U644" t="s">
        <v>85</v>
      </c>
      <c r="Z644" s="1374" t="s">
        <v>2705</v>
      </c>
      <c r="AA644" s="1374"/>
      <c r="AB644" s="1374"/>
      <c r="AC644" s="1374"/>
      <c r="AD644" s="1374"/>
      <c r="AE644" s="1374"/>
      <c r="AF644" s="1374"/>
      <c r="AG644" s="1374"/>
      <c r="AH644" s="1374"/>
      <c r="AI644" s="1374"/>
      <c r="AJ644" s="1374"/>
      <c r="AK644" s="1374"/>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f t="shared" si="5"/>
        <v>62.0625</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3" customHeight="1">
      <c r="A645" s="22"/>
      <c r="B645" t="s">
        <v>580</v>
      </c>
      <c r="G645" s="1374" t="str">
        <f>H337</f>
        <v>Carlsbad, CA 92011</v>
      </c>
      <c r="H645" s="1374"/>
      <c r="I645" s="1374"/>
      <c r="J645" s="1374"/>
      <c r="K645" s="1374"/>
      <c r="L645" s="1374"/>
      <c r="M645" s="1374"/>
      <c r="N645" s="1374"/>
      <c r="O645" s="1374"/>
      <c r="P645" s="1374"/>
      <c r="Q645" s="1374"/>
      <c r="R645" s="1374"/>
      <c r="T645" s="22"/>
      <c r="U645" t="s">
        <v>580</v>
      </c>
      <c r="Z645" s="1349" t="s">
        <v>2623</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f t="shared" si="4"/>
        <v>162.09375</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3" customHeight="1">
      <c r="A646" s="22"/>
      <c r="B646" t="s">
        <v>17</v>
      </c>
      <c r="G646" s="1374" t="s">
        <v>2738</v>
      </c>
      <c r="H646" s="1374"/>
      <c r="I646" s="1374"/>
      <c r="J646" s="1374"/>
      <c r="K646" s="1374"/>
      <c r="L646" s="1374"/>
      <c r="M646" s="1374"/>
      <c r="N646" s="1374"/>
      <c r="O646" s="1374"/>
      <c r="P646" s="1374"/>
      <c r="Q646" s="1374"/>
      <c r="R646" s="1374"/>
      <c r="S646" s="8"/>
      <c r="T646" s="22"/>
      <c r="U646" t="s">
        <v>17</v>
      </c>
      <c r="Z646" s="1349" t="s">
        <v>2706</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f t="shared" si="5"/>
        <v>186.1875</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3" customHeight="1">
      <c r="A647" s="22"/>
      <c r="B647" t="s">
        <v>315</v>
      </c>
      <c r="G647" s="1346" t="s">
        <v>2685</v>
      </c>
      <c r="H647" s="1347"/>
      <c r="I647" s="1347"/>
      <c r="J647" s="1347"/>
      <c r="K647" s="1347"/>
      <c r="L647" s="1347"/>
      <c r="O647" s="33" t="s">
        <v>205</v>
      </c>
      <c r="P647" s="1438"/>
      <c r="Q647" s="1438"/>
      <c r="R647" s="1438"/>
      <c r="S647" s="10"/>
      <c r="T647" s="22"/>
      <c r="U647" t="s">
        <v>315</v>
      </c>
      <c r="Z647" s="1347" t="str">
        <f>Z581</f>
        <v>650-329-2195</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f t="shared" si="2"/>
        <v>284.66666666666663</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3" customHeight="1">
      <c r="A648" s="22"/>
      <c r="B648" t="s">
        <v>18</v>
      </c>
      <c r="H648" s="1373" t="s">
        <v>2716</v>
      </c>
      <c r="I648" s="1374"/>
      <c r="J648" s="1374"/>
      <c r="K648" s="1374"/>
      <c r="L648" s="1374"/>
      <c r="M648" s="1374"/>
      <c r="N648" s="1374"/>
      <c r="O648" s="1374"/>
      <c r="P648" s="1374"/>
      <c r="Q648" s="1374"/>
      <c r="R648" s="1374"/>
      <c r="S648" s="8"/>
      <c r="T648" s="22"/>
      <c r="U648" t="s">
        <v>18</v>
      </c>
      <c r="AA648" s="1373" t="s">
        <v>2713</v>
      </c>
      <c r="AB648" s="1374"/>
      <c r="AC648" s="1374"/>
      <c r="AD648" s="1374"/>
      <c r="AE648" s="1374"/>
      <c r="AF648" s="1374"/>
      <c r="AG648" s="1374"/>
      <c r="AH648" s="1374"/>
      <c r="AI648" s="1374"/>
      <c r="AJ648" s="1374"/>
      <c r="AK648" s="1374"/>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f t="shared" si="3"/>
        <v>319.375</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3" customHeight="1">
      <c r="A649" s="22"/>
      <c r="B649" t="s">
        <v>20</v>
      </c>
      <c r="N649" s="1332" t="s">
        <v>669</v>
      </c>
      <c r="O649" s="1332"/>
      <c r="T649" s="22"/>
      <c r="U649" t="s">
        <v>20</v>
      </c>
      <c r="AG649" s="1332" t="s">
        <v>669</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f t="shared" si="4"/>
        <v>136.3125</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f t="shared" si="5"/>
        <v>156.75</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3" customHeight="1">
      <c r="A651" s="55" t="s">
        <v>119</v>
      </c>
      <c r="B651" t="s">
        <v>463</v>
      </c>
      <c r="G651" s="1359" t="str">
        <f>C629</f>
        <v xml:space="preserve">City of Palo Alto </v>
      </c>
      <c r="H651" s="1359"/>
      <c r="I651" s="1359"/>
      <c r="J651" s="1359"/>
      <c r="K651" s="1359"/>
      <c r="L651" s="1359"/>
      <c r="M651" s="1359"/>
      <c r="N651" s="1359"/>
      <c r="O651" s="1359"/>
      <c r="P651" s="1359"/>
      <c r="Q651" s="1359"/>
      <c r="R651" s="1359"/>
      <c r="T651" s="55" t="s">
        <v>581</v>
      </c>
      <c r="U651" t="s">
        <v>463</v>
      </c>
      <c r="Z651" s="1359" t="str">
        <f>C630</f>
        <v>Stanford Affordable Housing Fund</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f t="shared" si="4"/>
        <v>136.3125</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3" customHeight="1">
      <c r="A652" s="22"/>
      <c r="B652" t="s">
        <v>85</v>
      </c>
      <c r="G652" s="1374" t="str">
        <f>G578</f>
        <v>110 W. Tasman Drive</v>
      </c>
      <c r="H652" s="1374"/>
      <c r="I652" s="1374"/>
      <c r="J652" s="1374"/>
      <c r="K652" s="1374"/>
      <c r="L652" s="1374"/>
      <c r="M652" s="1374"/>
      <c r="N652" s="1374"/>
      <c r="O652" s="1374"/>
      <c r="P652" s="1374"/>
      <c r="Q652" s="1374"/>
      <c r="R652" s="1374"/>
      <c r="T652" s="22"/>
      <c r="U652" t="s">
        <v>85</v>
      </c>
      <c r="Z652" s="1374" t="str">
        <f>Z644</f>
        <v>110 W. Tasman Drive</v>
      </c>
      <c r="AA652" s="1374"/>
      <c r="AB652" s="1374"/>
      <c r="AC652" s="1374"/>
      <c r="AD652" s="1374"/>
      <c r="AE652" s="1374"/>
      <c r="AF652" s="1374"/>
      <c r="AG652" s="1374"/>
      <c r="AH652" s="1374"/>
      <c r="AI652" s="1374"/>
      <c r="AJ652" s="1374"/>
      <c r="AK652" s="1374"/>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f t="shared" si="5"/>
        <v>156.75</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3" customHeight="1">
      <c r="A653" s="22"/>
      <c r="B653" t="s">
        <v>580</v>
      </c>
      <c r="G653" s="1349" t="s">
        <v>2619</v>
      </c>
      <c r="H653" s="1349"/>
      <c r="I653" s="1349"/>
      <c r="J653" s="1349"/>
      <c r="K653" s="1349"/>
      <c r="L653" s="1349"/>
      <c r="M653" s="1349"/>
      <c r="N653" s="1349"/>
      <c r="O653" s="1349"/>
      <c r="P653" s="1349"/>
      <c r="Q653" s="1349"/>
      <c r="R653" s="1349"/>
      <c r="T653" s="22"/>
      <c r="U653" t="s">
        <v>580</v>
      </c>
      <c r="Z653" s="1349" t="str">
        <f t="shared" ref="Z653:Z654" si="8">Z645</f>
        <v>San Jose</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f t="shared" si="2"/>
        <v>171.66666666666666</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3" customHeight="1">
      <c r="A654" s="22"/>
      <c r="B654" t="s">
        <v>17</v>
      </c>
      <c r="G654" s="1349" t="s">
        <v>2708</v>
      </c>
      <c r="H654" s="1349"/>
      <c r="I654" s="1349"/>
      <c r="J654" s="1349"/>
      <c r="K654" s="1349"/>
      <c r="L654" s="1349"/>
      <c r="M654" s="1349"/>
      <c r="N654" s="1349"/>
      <c r="O654" s="1349"/>
      <c r="P654" s="1349"/>
      <c r="Q654" s="1349"/>
      <c r="R654" s="1349"/>
      <c r="T654" s="22"/>
      <c r="U654" t="s">
        <v>17</v>
      </c>
      <c r="Z654" s="1349" t="str">
        <f t="shared" si="8"/>
        <v>Marie Walters</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f t="shared" si="3"/>
        <v>825.75</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3" customHeight="1">
      <c r="A655" s="22"/>
      <c r="B655" t="s">
        <v>315</v>
      </c>
      <c r="G655" s="1346" t="s">
        <v>2715</v>
      </c>
      <c r="H655" s="1347"/>
      <c r="I655" s="1347"/>
      <c r="J655" s="1347"/>
      <c r="K655" s="1347"/>
      <c r="L655" s="1347"/>
      <c r="O655" s="33" t="s">
        <v>205</v>
      </c>
      <c r="P655" s="1438"/>
      <c r="Q655" s="1438"/>
      <c r="R655" s="1438"/>
      <c r="T655" s="22"/>
      <c r="U655" t="s">
        <v>315</v>
      </c>
      <c r="Z655" s="1347" t="str">
        <f>Z647</f>
        <v>650-329-2195</v>
      </c>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f t="shared" si="4"/>
        <v>329.125</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3" customHeight="1">
      <c r="A656" s="22"/>
      <c r="B656" t="s">
        <v>18</v>
      </c>
      <c r="H656" s="1373" t="s">
        <v>2713</v>
      </c>
      <c r="I656" s="1374"/>
      <c r="J656" s="1374"/>
      <c r="K656" s="1374"/>
      <c r="L656" s="1374"/>
      <c r="M656" s="1374"/>
      <c r="N656" s="1374"/>
      <c r="O656" s="1374"/>
      <c r="P656" s="1374"/>
      <c r="Q656" s="1374"/>
      <c r="R656" s="1374"/>
      <c r="T656" s="22"/>
      <c r="U656" t="s">
        <v>18</v>
      </c>
      <c r="AA656" s="1374" t="str">
        <f>AA648</f>
        <v>Construction / Perm</v>
      </c>
      <c r="AB656" s="1374"/>
      <c r="AC656" s="1374"/>
      <c r="AD656" s="1374"/>
      <c r="AE656" s="1374"/>
      <c r="AF656" s="1374"/>
      <c r="AG656" s="1374"/>
      <c r="AH656" s="1374"/>
      <c r="AI656" s="1374"/>
      <c r="AJ656" s="1374"/>
      <c r="AK656" s="1374"/>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f t="shared" si="5"/>
        <v>378.75</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3" customHeight="1">
      <c r="A657" s="22"/>
      <c r="B657" t="s">
        <v>20</v>
      </c>
      <c r="N657" s="1332" t="s">
        <v>669</v>
      </c>
      <c r="O657" s="1332"/>
      <c r="T657" s="22"/>
      <c r="U657" t="s">
        <v>20</v>
      </c>
      <c r="AG657" s="1332" t="s">
        <v>669</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3" customHeight="1">
      <c r="A659" s="55" t="s">
        <v>763</v>
      </c>
      <c r="B659" t="s">
        <v>463</v>
      </c>
      <c r="G659" s="1359" t="str">
        <f>C631</f>
        <v>Deferred Developer Fee</v>
      </c>
      <c r="H659" s="1359"/>
      <c r="I659" s="1359"/>
      <c r="J659" s="1359"/>
      <c r="K659" s="1359"/>
      <c r="L659" s="1359"/>
      <c r="M659" s="1359"/>
      <c r="N659" s="1359"/>
      <c r="O659" s="1359"/>
      <c r="P659" s="1359"/>
      <c r="Q659" s="1359"/>
      <c r="R659" s="1359"/>
      <c r="T659" s="55" t="s">
        <v>584</v>
      </c>
      <c r="U659" t="s">
        <v>463</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3" customHeight="1">
      <c r="A660" s="22"/>
      <c r="B660" t="s">
        <v>85</v>
      </c>
      <c r="G660" s="1374" t="s">
        <v>2622</v>
      </c>
      <c r="H660" s="1374"/>
      <c r="I660" s="1374"/>
      <c r="J660" s="1374"/>
      <c r="K660" s="1374"/>
      <c r="L660" s="1374"/>
      <c r="M660" s="1374"/>
      <c r="N660" s="1374"/>
      <c r="O660" s="1374"/>
      <c r="P660" s="1374"/>
      <c r="Q660" s="1374"/>
      <c r="R660" s="1374"/>
      <c r="T660" s="22"/>
      <c r="U660" t="s">
        <v>85</v>
      </c>
      <c r="Z660" s="1374"/>
      <c r="AA660" s="1374"/>
      <c r="AB660" s="1374"/>
      <c r="AC660" s="1374"/>
      <c r="AD660" s="1374"/>
      <c r="AE660" s="1374"/>
      <c r="AF660" s="1374"/>
      <c r="AG660" s="1374"/>
      <c r="AH660" s="1374"/>
      <c r="AI660" s="1374"/>
      <c r="AJ660" s="1374"/>
      <c r="AK660" s="1374"/>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3" customHeight="1">
      <c r="A661" s="22"/>
      <c r="B661" t="s">
        <v>580</v>
      </c>
      <c r="G661" s="1374" t="s">
        <v>2623</v>
      </c>
      <c r="H661" s="1374"/>
      <c r="I661" s="1374"/>
      <c r="J661" s="1374"/>
      <c r="K661" s="1374"/>
      <c r="L661" s="1374"/>
      <c r="M661" s="1374"/>
      <c r="N661" s="1374"/>
      <c r="O661" s="1374"/>
      <c r="P661" s="1374"/>
      <c r="Q661" s="1374"/>
      <c r="R661" s="1374"/>
      <c r="T661" s="22"/>
      <c r="U661" t="s">
        <v>580</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3" customHeight="1">
      <c r="A662" s="22"/>
      <c r="B662" t="s">
        <v>17</v>
      </c>
      <c r="G662" s="1374" t="s">
        <v>2709</v>
      </c>
      <c r="H662" s="1374"/>
      <c r="I662" s="1374"/>
      <c r="J662" s="1374"/>
      <c r="K662" s="1374"/>
      <c r="L662" s="1374"/>
      <c r="M662" s="1374"/>
      <c r="N662" s="1374"/>
      <c r="O662" s="1374"/>
      <c r="P662" s="1374"/>
      <c r="Q662" s="1374"/>
      <c r="R662" s="1374"/>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3" customHeight="1">
      <c r="A663" s="22"/>
      <c r="B663" t="s">
        <v>315</v>
      </c>
      <c r="G663" s="1346" t="s">
        <v>2686</v>
      </c>
      <c r="H663" s="1347"/>
      <c r="I663" s="1347"/>
      <c r="J663" s="1347"/>
      <c r="K663" s="1347"/>
      <c r="L663" s="1347"/>
      <c r="O663" s="33" t="s">
        <v>205</v>
      </c>
      <c r="P663" s="1438"/>
      <c r="Q663" s="1438"/>
      <c r="R663" s="1438"/>
      <c r="T663" s="22"/>
      <c r="U663" t="s">
        <v>315</v>
      </c>
      <c r="Z663" s="1347"/>
      <c r="AA663" s="1347"/>
      <c r="AB663" s="1347"/>
      <c r="AC663" s="1347"/>
      <c r="AD663" s="1347"/>
      <c r="AE663" s="1347"/>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3" customHeight="1">
      <c r="A664" s="22"/>
      <c r="B664" t="s">
        <v>18</v>
      </c>
      <c r="H664" s="1374" t="str">
        <f>G659</f>
        <v>Deferred Developer Fee</v>
      </c>
      <c r="I664" s="1374"/>
      <c r="J664" s="1374"/>
      <c r="K664" s="1374"/>
      <c r="L664" s="1374"/>
      <c r="M664" s="1374"/>
      <c r="N664" s="1374"/>
      <c r="O664" s="1374"/>
      <c r="P664" s="1374"/>
      <c r="Q664" s="1374"/>
      <c r="R664" s="1374"/>
      <c r="T664" s="22"/>
      <c r="U664" t="s">
        <v>18</v>
      </c>
      <c r="AA664" s="1374"/>
      <c r="AB664" s="1374"/>
      <c r="AC664" s="1374"/>
      <c r="AD664" s="1374"/>
      <c r="AE664" s="1374"/>
      <c r="AF664" s="1374"/>
      <c r="AG664" s="1374"/>
      <c r="AH664" s="1374"/>
      <c r="AI664" s="1374"/>
      <c r="AJ664" s="1374"/>
      <c r="AK664" s="137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3" customHeight="1">
      <c r="A665" s="22"/>
      <c r="B665" t="s">
        <v>20</v>
      </c>
      <c r="N665" s="1332" t="s">
        <v>669</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3" customHeight="1">
      <c r="A667" s="55" t="s">
        <v>455</v>
      </c>
      <c r="B667" t="s">
        <v>463</v>
      </c>
      <c r="G667" s="1359">
        <f>C633</f>
        <v>0</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3" customHeight="1">
      <c r="A668" s="22"/>
      <c r="B668" t="s">
        <v>85</v>
      </c>
      <c r="G668" s="1374"/>
      <c r="H668" s="1374"/>
      <c r="I668" s="1374"/>
      <c r="J668" s="1374"/>
      <c r="K668" s="1374"/>
      <c r="L668" s="1374"/>
      <c r="M668" s="1374"/>
      <c r="N668" s="1374"/>
      <c r="O668" s="1374"/>
      <c r="P668" s="1374"/>
      <c r="Q668" s="1374"/>
      <c r="R668" s="1374"/>
      <c r="T668" s="22"/>
      <c r="U668" t="s">
        <v>85</v>
      </c>
      <c r="Z668" s="1373"/>
      <c r="AA668" s="1374"/>
      <c r="AB668" s="1374"/>
      <c r="AC668" s="1374"/>
      <c r="AD668" s="1374"/>
      <c r="AE668" s="1374"/>
      <c r="AF668" s="1374"/>
      <c r="AG668" s="1374"/>
      <c r="AH668" s="1374"/>
      <c r="AI668" s="1374"/>
      <c r="AJ668" s="1374"/>
      <c r="AK668" s="1374"/>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3" customHeight="1">
      <c r="A669" s="22"/>
      <c r="B669" t="s">
        <v>580</v>
      </c>
      <c r="G669" s="1374"/>
      <c r="H669" s="1374"/>
      <c r="I669" s="1374"/>
      <c r="J669" s="1374"/>
      <c r="K669" s="1374"/>
      <c r="L669" s="1374"/>
      <c r="M669" s="1374"/>
      <c r="N669" s="1374"/>
      <c r="O669" s="1374"/>
      <c r="P669" s="1374"/>
      <c r="Q669" s="1374"/>
      <c r="R669" s="1374"/>
      <c r="T669" s="22"/>
      <c r="U669" t="s">
        <v>580</v>
      </c>
      <c r="Z669" s="1547"/>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3" customHeight="1">
      <c r="A670" s="22"/>
      <c r="B670" t="s">
        <v>17</v>
      </c>
      <c r="G670" s="1374"/>
      <c r="H670" s="1374"/>
      <c r="I670" s="1374"/>
      <c r="J670" s="1374"/>
      <c r="K670" s="1374"/>
      <c r="L670" s="1374"/>
      <c r="M670" s="1374"/>
      <c r="N670" s="1374"/>
      <c r="O670" s="1374"/>
      <c r="P670" s="1374"/>
      <c r="Q670" s="1374"/>
      <c r="R670" s="1374"/>
      <c r="T670" s="22"/>
      <c r="U670" t="s">
        <v>17</v>
      </c>
      <c r="Z670" s="1547"/>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1297.8333333333333</v>
      </c>
      <c r="DY670" s="1446"/>
      <c r="DZ670" s="1446"/>
      <c r="EA670" s="1446"/>
      <c r="EB670" s="1446"/>
      <c r="EC670" s="1446">
        <f>SUMIF(EC635:EG669,"&gt;0")</f>
        <v>1683.625</v>
      </c>
      <c r="ED670" s="1446"/>
      <c r="EE670" s="1446"/>
      <c r="EF670" s="1446"/>
      <c r="EG670" s="1446"/>
      <c r="EH670" s="1446">
        <f>SUMIF(EH635:EL669,"&gt;0")</f>
        <v>1616</v>
      </c>
      <c r="EI670" s="1446"/>
      <c r="EJ670" s="1446"/>
      <c r="EK670" s="1446"/>
      <c r="EL670" s="1446"/>
      <c r="EM670" s="1446">
        <f>SUMIF(EM635:EQ669,"&gt;0")</f>
        <v>1855.5</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7"/>
      <c r="H671" s="1347"/>
      <c r="I671" s="1347"/>
      <c r="J671" s="1347"/>
      <c r="K671" s="1347"/>
      <c r="L671" s="1347"/>
      <c r="O671" s="33" t="s">
        <v>205</v>
      </c>
      <c r="P671" s="1438"/>
      <c r="Q671" s="1438"/>
      <c r="R671" s="1438"/>
      <c r="T671" s="22"/>
      <c r="U671" t="s">
        <v>315</v>
      </c>
      <c r="Z671" s="1346"/>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4">
        <f>G667</f>
        <v>0</v>
      </c>
      <c r="I672" s="1374"/>
      <c r="J672" s="1374"/>
      <c r="K672" s="1374"/>
      <c r="L672" s="1374"/>
      <c r="M672" s="1374"/>
      <c r="N672" s="1374"/>
      <c r="O672" s="1374"/>
      <c r="P672" s="1374"/>
      <c r="Q672" s="1374"/>
      <c r="R672" s="1374"/>
      <c r="T672" s="22"/>
      <c r="U672" t="s">
        <v>18</v>
      </c>
      <c r="AA672" s="1374">
        <f>Z667</f>
        <v>0</v>
      </c>
      <c r="AB672" s="1374"/>
      <c r="AC672" s="1374"/>
      <c r="AD672" s="1374"/>
      <c r="AE672" s="1374"/>
      <c r="AF672" s="1374"/>
      <c r="AG672" s="1374"/>
      <c r="AH672" s="1374"/>
      <c r="AI672" s="1374"/>
      <c r="AJ672" s="1374"/>
      <c r="AK672" s="1374"/>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669</v>
      </c>
      <c r="O673" s="1332"/>
      <c r="T673" s="22"/>
      <c r="U673" t="s">
        <v>20</v>
      </c>
      <c r="AG673" s="1332" t="s">
        <v>669</v>
      </c>
      <c r="AH673" s="1332"/>
      <c r="AZ673" s="3"/>
    </row>
    <row r="674" spans="1:52" ht="13" customHeight="1">
      <c r="A674" s="22"/>
      <c r="T674" s="22"/>
      <c r="AZ674" s="3"/>
    </row>
    <row r="675" spans="1:52" ht="13" customHeight="1">
      <c r="A675" s="55" t="s">
        <v>461</v>
      </c>
      <c r="B675" t="s">
        <v>463</v>
      </c>
      <c r="G675" s="1359">
        <f>C635</f>
        <v>0</v>
      </c>
      <c r="H675" s="1359"/>
      <c r="I675" s="1359"/>
      <c r="J675" s="1359"/>
      <c r="K675" s="1359"/>
      <c r="L675" s="1359"/>
      <c r="M675" s="1359"/>
      <c r="N675" s="1359"/>
      <c r="O675" s="1359"/>
      <c r="P675" s="1359"/>
      <c r="Q675" s="1359"/>
      <c r="R675" s="1359"/>
      <c r="T675" s="55" t="s">
        <v>646</v>
      </c>
      <c r="U675" t="s">
        <v>463</v>
      </c>
      <c r="Z675" s="1359">
        <f>C636</f>
        <v>0</v>
      </c>
      <c r="AA675" s="1359"/>
      <c r="AB675" s="1359"/>
      <c r="AC675" s="1359"/>
      <c r="AD675" s="1359"/>
      <c r="AE675" s="1359"/>
      <c r="AF675" s="1359"/>
      <c r="AG675" s="1359"/>
      <c r="AH675" s="1359"/>
      <c r="AI675" s="1359"/>
      <c r="AJ675" s="1359"/>
      <c r="AK675" s="1359"/>
      <c r="AZ675" s="3"/>
    </row>
    <row r="676" spans="1:52" ht="13" customHeight="1">
      <c r="A676" s="22"/>
      <c r="B676" t="s">
        <v>85</v>
      </c>
      <c r="G676" s="1374"/>
      <c r="H676" s="1374"/>
      <c r="I676" s="1374"/>
      <c r="J676" s="1374"/>
      <c r="K676" s="1374"/>
      <c r="L676" s="1374"/>
      <c r="M676" s="1374"/>
      <c r="N676" s="1374"/>
      <c r="O676" s="1374"/>
      <c r="P676" s="1374"/>
      <c r="Q676" s="1374"/>
      <c r="R676" s="1374"/>
      <c r="T676" s="22"/>
      <c r="U676" t="s">
        <v>85</v>
      </c>
      <c r="Z676" s="1374"/>
      <c r="AA676" s="1374"/>
      <c r="AB676" s="1374"/>
      <c r="AC676" s="1374"/>
      <c r="AD676" s="1374"/>
      <c r="AE676" s="1374"/>
      <c r="AF676" s="1374"/>
      <c r="AG676" s="1374"/>
      <c r="AH676" s="1374"/>
      <c r="AI676" s="1374"/>
      <c r="AJ676" s="1374"/>
      <c r="AK676" s="1374"/>
      <c r="AZ676" s="3"/>
    </row>
    <row r="677" spans="1:52" ht="13" customHeight="1">
      <c r="A677" s="22"/>
      <c r="B677" t="s">
        <v>580</v>
      </c>
      <c r="G677" s="1374"/>
      <c r="H677" s="1374"/>
      <c r="I677" s="1374"/>
      <c r="J677" s="1374"/>
      <c r="K677" s="1374"/>
      <c r="L677" s="1374"/>
      <c r="M677" s="1374"/>
      <c r="N677" s="1374"/>
      <c r="O677" s="1374"/>
      <c r="P677" s="1374"/>
      <c r="Q677" s="1374"/>
      <c r="R677" s="1374"/>
      <c r="T677" s="22"/>
      <c r="U677" t="s">
        <v>580</v>
      </c>
      <c r="Z677" s="1349"/>
      <c r="AA677" s="1349"/>
      <c r="AB677" s="1349"/>
      <c r="AC677" s="1349"/>
      <c r="AD677" s="1349"/>
      <c r="AE677" s="1349"/>
      <c r="AF677" s="1349"/>
      <c r="AG677" s="1349"/>
      <c r="AH677" s="1349"/>
      <c r="AI677" s="1349"/>
      <c r="AJ677" s="1349"/>
      <c r="AK677" s="1349"/>
      <c r="AZ677" s="3"/>
    </row>
    <row r="678" spans="1:52" ht="13" customHeight="1">
      <c r="A678" s="22"/>
      <c r="B678" t="s">
        <v>17</v>
      </c>
      <c r="G678" s="1374"/>
      <c r="H678" s="1374"/>
      <c r="I678" s="1374"/>
      <c r="J678" s="1374"/>
      <c r="K678" s="1374"/>
      <c r="L678" s="1374"/>
      <c r="M678" s="1374"/>
      <c r="N678" s="1374"/>
      <c r="O678" s="1374"/>
      <c r="P678" s="1374"/>
      <c r="Q678" s="1374"/>
      <c r="R678" s="1374"/>
      <c r="T678" s="22"/>
      <c r="U678" t="s">
        <v>17</v>
      </c>
      <c r="Z678" s="1349"/>
      <c r="AA678" s="1349"/>
      <c r="AB678" s="1349"/>
      <c r="AC678" s="1349"/>
      <c r="AD678" s="1349"/>
      <c r="AE678" s="1349"/>
      <c r="AF678" s="1349"/>
      <c r="AG678" s="1349"/>
      <c r="AH678" s="1349"/>
      <c r="AI678" s="1349"/>
      <c r="AJ678" s="1349"/>
      <c r="AK678" s="1349"/>
      <c r="AZ678" s="3"/>
    </row>
    <row r="679" spans="1:52" ht="13"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3" customHeight="1">
      <c r="A680" s="22"/>
      <c r="B680" t="s">
        <v>18</v>
      </c>
      <c r="H680" s="1374"/>
      <c r="I680" s="1374"/>
      <c r="J680" s="1374"/>
      <c r="K680" s="1374"/>
      <c r="L680" s="1374"/>
      <c r="M680" s="1374"/>
      <c r="N680" s="1374"/>
      <c r="O680" s="1374"/>
      <c r="P680" s="1374"/>
      <c r="Q680" s="1374"/>
      <c r="R680" s="1374"/>
      <c r="T680" s="22"/>
      <c r="U680" t="s">
        <v>18</v>
      </c>
      <c r="AA680" s="1374"/>
      <c r="AB680" s="1374"/>
      <c r="AC680" s="1374"/>
      <c r="AD680" s="1374"/>
      <c r="AE680" s="1374"/>
      <c r="AF680" s="1374"/>
      <c r="AG680" s="1374"/>
      <c r="AH680" s="1374"/>
      <c r="AI680" s="1374"/>
      <c r="AJ680" s="1374"/>
      <c r="AK680" s="1374"/>
      <c r="AZ680" s="3"/>
    </row>
    <row r="681" spans="1:52" ht="13" customHeight="1">
      <c r="A681" s="22"/>
      <c r="B681" t="s">
        <v>20</v>
      </c>
      <c r="N681" s="1332" t="s">
        <v>669</v>
      </c>
      <c r="O681" s="1332"/>
      <c r="T681" s="22"/>
      <c r="U681" t="s">
        <v>20</v>
      </c>
      <c r="AG681" s="1332" t="s">
        <v>669</v>
      </c>
      <c r="AH681" s="1332"/>
      <c r="AZ681" s="3"/>
    </row>
    <row r="682" spans="1:52" ht="13" customHeight="1">
      <c r="A682" s="22"/>
      <c r="T682" s="22"/>
      <c r="AZ682" s="3"/>
    </row>
    <row r="683" spans="1:52" ht="13" customHeight="1">
      <c r="A683" s="55" t="s">
        <v>361</v>
      </c>
      <c r="B683" t="s">
        <v>463</v>
      </c>
      <c r="G683" s="1359">
        <f>C637</f>
        <v>0</v>
      </c>
      <c r="H683" s="1359"/>
      <c r="I683" s="1359"/>
      <c r="J683" s="1359"/>
      <c r="K683" s="1359"/>
      <c r="L683" s="1359"/>
      <c r="M683" s="1359"/>
      <c r="N683" s="1359"/>
      <c r="O683" s="1359"/>
      <c r="P683" s="1359"/>
      <c r="Q683" s="1359"/>
      <c r="R683" s="1359"/>
      <c r="T683" s="55" t="s">
        <v>362</v>
      </c>
      <c r="U683" t="s">
        <v>463</v>
      </c>
      <c r="Z683" s="1359">
        <f>C638</f>
        <v>0</v>
      </c>
      <c r="AA683" s="1359"/>
      <c r="AB683" s="1359"/>
      <c r="AC683" s="1359"/>
      <c r="AD683" s="1359"/>
      <c r="AE683" s="1359"/>
      <c r="AF683" s="1359"/>
      <c r="AG683" s="1359"/>
      <c r="AH683" s="1359"/>
      <c r="AI683" s="1359"/>
      <c r="AJ683" s="1359"/>
      <c r="AK683" s="1359"/>
      <c r="AZ683" s="3"/>
    </row>
    <row r="684" spans="1:52" ht="13" customHeight="1">
      <c r="B684" t="s">
        <v>85</v>
      </c>
      <c r="G684" s="1374"/>
      <c r="H684" s="1374"/>
      <c r="I684" s="1374"/>
      <c r="J684" s="1374"/>
      <c r="K684" s="1374"/>
      <c r="L684" s="1374"/>
      <c r="M684" s="1374"/>
      <c r="N684" s="1374"/>
      <c r="O684" s="1374"/>
      <c r="P684" s="1374"/>
      <c r="Q684" s="1374"/>
      <c r="R684" s="1374"/>
      <c r="T684" s="22"/>
      <c r="U684" t="s">
        <v>85</v>
      </c>
      <c r="Z684" s="1374"/>
      <c r="AA684" s="1374"/>
      <c r="AB684" s="1374"/>
      <c r="AC684" s="1374"/>
      <c r="AD684" s="1374"/>
      <c r="AE684" s="1374"/>
      <c r="AF684" s="1374"/>
      <c r="AG684" s="1374"/>
      <c r="AH684" s="1374"/>
      <c r="AI684" s="1374"/>
      <c r="AJ684" s="1374"/>
      <c r="AK684" s="1374"/>
      <c r="AZ684" s="3"/>
    </row>
    <row r="685" spans="1:52" ht="13" customHeight="1">
      <c r="B685" t="s">
        <v>580</v>
      </c>
      <c r="G685" s="1374"/>
      <c r="H685" s="1374"/>
      <c r="I685" s="1374"/>
      <c r="J685" s="1374"/>
      <c r="K685" s="1374"/>
      <c r="L685" s="1374"/>
      <c r="M685" s="1374"/>
      <c r="N685" s="1374"/>
      <c r="O685" s="1374"/>
      <c r="P685" s="1374"/>
      <c r="Q685" s="1374"/>
      <c r="R685" s="1374"/>
      <c r="U685" t="s">
        <v>580</v>
      </c>
      <c r="Z685" s="1349"/>
      <c r="AA685" s="1349"/>
      <c r="AB685" s="1349"/>
      <c r="AC685" s="1349"/>
      <c r="AD685" s="1349"/>
      <c r="AE685" s="1349"/>
      <c r="AF685" s="1349"/>
      <c r="AG685" s="1349"/>
      <c r="AH685" s="1349"/>
      <c r="AI685" s="1349"/>
      <c r="AJ685" s="1349"/>
      <c r="AK685" s="1349"/>
      <c r="AZ685" s="3"/>
    </row>
    <row r="686" spans="1:52" ht="13" customHeight="1">
      <c r="B686" t="s">
        <v>17</v>
      </c>
      <c r="G686" s="1374"/>
      <c r="H686" s="1374"/>
      <c r="I686" s="1374"/>
      <c r="J686" s="1374"/>
      <c r="K686" s="1374"/>
      <c r="L686" s="1374"/>
      <c r="M686" s="1374"/>
      <c r="N686" s="1374"/>
      <c r="O686" s="1374"/>
      <c r="P686" s="1374"/>
      <c r="Q686" s="1374"/>
      <c r="R686" s="1374"/>
      <c r="U686" t="s">
        <v>17</v>
      </c>
      <c r="Z686" s="1349"/>
      <c r="AA686" s="1349"/>
      <c r="AB686" s="1349"/>
      <c r="AC686" s="1349"/>
      <c r="AD686" s="1349"/>
      <c r="AE686" s="1349"/>
      <c r="AF686" s="1349"/>
      <c r="AG686" s="1349"/>
      <c r="AH686" s="1349"/>
      <c r="AI686" s="1349"/>
      <c r="AJ686" s="1349"/>
      <c r="AK686" s="1349"/>
      <c r="AZ686" s="3"/>
    </row>
    <row r="687" spans="1:52" ht="13"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3" customHeight="1">
      <c r="B688" t="s">
        <v>18</v>
      </c>
      <c r="H688" s="1374"/>
      <c r="I688" s="1374"/>
      <c r="J688" s="1374"/>
      <c r="K688" s="1374"/>
      <c r="L688" s="1374"/>
      <c r="M688" s="1374"/>
      <c r="N688" s="1374"/>
      <c r="O688" s="1374"/>
      <c r="P688" s="1374"/>
      <c r="Q688" s="1374"/>
      <c r="R688" s="1374"/>
      <c r="U688" t="s">
        <v>18</v>
      </c>
      <c r="AA688" s="1374"/>
      <c r="AB688" s="1374"/>
      <c r="AC688" s="1374"/>
      <c r="AD688" s="1374"/>
      <c r="AE688" s="1374"/>
      <c r="AF688" s="1374"/>
      <c r="AG688" s="1374"/>
      <c r="AH688" s="1374"/>
      <c r="AI688" s="1374"/>
      <c r="AJ688" s="1374"/>
      <c r="AK688" s="1374"/>
      <c r="AZ688" s="3"/>
    </row>
    <row r="689" spans="1:67" ht="13" customHeight="1">
      <c r="B689" t="s">
        <v>20</v>
      </c>
      <c r="N689" s="1332" t="s">
        <v>669</v>
      </c>
      <c r="O689" s="1332"/>
      <c r="U689" t="s">
        <v>20</v>
      </c>
      <c r="AG689" s="1332" t="s">
        <v>669</v>
      </c>
      <c r="AH689" s="1332"/>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545</v>
      </c>
      <c r="AF693" s="1332"/>
      <c r="AZ693" s="3"/>
    </row>
    <row r="694" spans="1:67" ht="13" customHeight="1">
      <c r="B694" s="135"/>
      <c r="C694" s="135"/>
      <c r="D694" s="136" t="s">
        <v>437</v>
      </c>
      <c r="E694" s="135"/>
      <c r="F694" s="135"/>
      <c r="G694" s="135"/>
      <c r="H694" s="135"/>
      <c r="AE694" s="1332" t="s">
        <v>669</v>
      </c>
      <c r="AF694" s="1332"/>
      <c r="AZ694" s="3"/>
    </row>
    <row r="695" spans="1:67" ht="13" customHeight="1">
      <c r="B695" s="135"/>
      <c r="C695" s="135"/>
      <c r="D695" s="136" t="s">
        <v>920</v>
      </c>
      <c r="E695" s="135"/>
      <c r="F695" s="135"/>
      <c r="G695" s="135"/>
      <c r="H695" s="135"/>
      <c r="AE695" s="1692">
        <v>45797</v>
      </c>
      <c r="AF695" s="1692"/>
      <c r="AG695" s="1692"/>
      <c r="AH695" s="1692"/>
      <c r="AI695" s="1692"/>
    </row>
    <row r="696" spans="1:67" ht="13" customHeight="1">
      <c r="B696" s="135"/>
      <c r="C696" s="135"/>
      <c r="D696" s="317" t="s">
        <v>983</v>
      </c>
      <c r="E696" s="135"/>
      <c r="F696" s="135"/>
      <c r="G696" s="135"/>
      <c r="H696" s="135"/>
      <c r="AE696" s="1703">
        <v>45867</v>
      </c>
      <c r="AF696" s="1703"/>
      <c r="AG696" s="1703"/>
      <c r="AH696" s="1703"/>
      <c r="AI696" s="1703"/>
    </row>
    <row r="697" spans="1:67" ht="13" customHeight="1">
      <c r="B697" s="135"/>
      <c r="C697" s="135"/>
    </row>
    <row r="698" spans="1:67" ht="13" customHeight="1">
      <c r="B698" s="135"/>
      <c r="C698" s="135"/>
      <c r="D698" s="136" t="s">
        <v>816</v>
      </c>
      <c r="E698" s="135"/>
      <c r="F698" s="135"/>
      <c r="G698" s="135"/>
      <c r="H698" s="135"/>
      <c r="AE698" s="1692">
        <v>46006</v>
      </c>
      <c r="AF698" s="1692"/>
      <c r="AG698" s="1692"/>
      <c r="AH698" s="1692"/>
      <c r="AI698" s="1692"/>
    </row>
    <row r="699" spans="1:67" ht="13" customHeight="1">
      <c r="B699" s="135"/>
      <c r="C699" s="135"/>
      <c r="D699" s="136" t="s">
        <v>435</v>
      </c>
      <c r="E699" s="135"/>
      <c r="F699" s="135"/>
      <c r="G699" s="135"/>
      <c r="H699" s="135"/>
      <c r="AE699" s="1662">
        <v>0.52</v>
      </c>
      <c r="AF699" s="1662"/>
      <c r="AG699" s="1662"/>
      <c r="AH699" s="1662"/>
      <c r="AI699" s="1662"/>
    </row>
    <row r="700" spans="1:67" ht="13" customHeight="1">
      <c r="B700" s="135"/>
      <c r="C700" s="135"/>
      <c r="D700" s="136" t="s">
        <v>436</v>
      </c>
      <c r="E700" s="135"/>
      <c r="F700" s="135"/>
      <c r="G700" s="135"/>
      <c r="H700" s="135"/>
      <c r="W700" s="1359" t="str">
        <f>H335</f>
        <v>CMFA</v>
      </c>
      <c r="X700" s="1359"/>
      <c r="Y700" s="1359"/>
      <c r="Z700" s="1359"/>
      <c r="AA700" s="1359"/>
      <c r="AB700" s="1359"/>
      <c r="AC700" s="1359"/>
      <c r="AD700" s="1359"/>
      <c r="AE700" s="1359"/>
      <c r="AF700" s="1359"/>
      <c r="AG700" s="1359"/>
      <c r="AH700" s="1359"/>
      <c r="AI700" s="1359"/>
      <c r="AJ700" s="1359"/>
      <c r="AK700" s="1359"/>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669</v>
      </c>
      <c r="AF702" s="1332"/>
      <c r="AZ702" s="4" t="s">
        <v>323</v>
      </c>
    </row>
    <row r="703" spans="1:67" ht="13" customHeight="1">
      <c r="B703" s="135"/>
      <c r="C703" s="135"/>
      <c r="D703" s="136" t="s">
        <v>442</v>
      </c>
      <c r="E703" s="135"/>
      <c r="F703" s="135"/>
      <c r="G703" s="135"/>
      <c r="H703" s="135"/>
      <c r="W703" s="1374"/>
      <c r="X703" s="1374"/>
      <c r="Y703" s="1374"/>
      <c r="Z703" s="1374"/>
      <c r="AA703" s="1374"/>
      <c r="AB703" s="1374"/>
      <c r="AC703" s="1374"/>
      <c r="AD703" s="1374"/>
      <c r="AE703" s="1374"/>
      <c r="AF703" s="1374"/>
      <c r="AG703" s="1374"/>
      <c r="AH703" s="1374"/>
      <c r="AI703" s="1374"/>
      <c r="AJ703" s="1374"/>
      <c r="AK703" s="1374"/>
      <c r="AZ703" s="4" t="s">
        <v>324</v>
      </c>
    </row>
    <row r="704" spans="1:67" ht="13" customHeight="1">
      <c r="B704" s="135"/>
      <c r="C704" s="135"/>
      <c r="D704" s="136" t="s">
        <v>87</v>
      </c>
      <c r="E704" s="135"/>
      <c r="F704" s="135"/>
      <c r="G704" s="135"/>
      <c r="H704" s="135"/>
      <c r="J704" s="1374"/>
      <c r="K704" s="1374"/>
      <c r="L704" s="1374"/>
      <c r="M704" s="1374"/>
      <c r="N704" s="1374"/>
      <c r="O704" s="1374"/>
      <c r="P704" s="1374"/>
      <c r="Q704" s="1374"/>
      <c r="R704" s="1374"/>
      <c r="S704" s="1374"/>
      <c r="T704" s="1374"/>
      <c r="U704" s="1374"/>
      <c r="V704" s="1374"/>
      <c r="W704" s="1374"/>
      <c r="X704" s="1374"/>
      <c r="AZ704" s="4" t="s">
        <v>163</v>
      </c>
      <c r="BB704" s="34"/>
      <c r="BC704" s="34"/>
      <c r="BD704" s="34"/>
      <c r="BE704" s="3"/>
      <c r="BF704" s="3"/>
      <c r="BJ704" s="3"/>
      <c r="BK704" s="3"/>
      <c r="BL704" s="3"/>
      <c r="BM704" s="3"/>
      <c r="BN704" s="34"/>
      <c r="BO704" s="34"/>
    </row>
    <row r="705" spans="1:185" ht="13"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4" t="s">
        <v>306</v>
      </c>
      <c r="X706" s="1374"/>
      <c r="Y706" s="1374"/>
      <c r="Z706" s="1374"/>
      <c r="AA706" s="1374"/>
      <c r="AB706" s="1374"/>
      <c r="AC706" s="1374"/>
      <c r="AD706" s="1374"/>
      <c r="AE706" s="1374"/>
      <c r="AF706" s="1374"/>
      <c r="AG706" s="1374"/>
      <c r="AH706" s="1374"/>
      <c r="AI706" s="1374"/>
      <c r="AJ706" s="1374"/>
      <c r="AK706" s="1374"/>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4" t="s">
        <v>333</v>
      </c>
      <c r="F707" s="1374"/>
      <c r="G707" s="1374"/>
      <c r="H707" s="1374"/>
      <c r="I707" s="1374"/>
      <c r="J707" s="1374"/>
      <c r="K707" s="1374"/>
      <c r="L707" s="1374"/>
      <c r="M707" s="1374"/>
      <c r="N707" s="1374"/>
      <c r="O707" s="1374"/>
      <c r="P707" s="1374"/>
      <c r="Q707" s="1374"/>
      <c r="R707" s="1374"/>
      <c r="S707" s="1374"/>
      <c r="T707" s="1374"/>
      <c r="U707" s="1374"/>
      <c r="V707" s="1374"/>
      <c r="W707" s="1374"/>
      <c r="X707" s="1374"/>
      <c r="Y707" s="1374"/>
      <c r="Z707" s="1374"/>
      <c r="AA707" s="1374"/>
      <c r="AB707" s="1374"/>
      <c r="AC707" s="1374"/>
      <c r="AD707" s="1374"/>
      <c r="AE707" s="1374"/>
      <c r="AF707" s="1374"/>
      <c r="AG707" s="1374"/>
      <c r="AH707" s="1374"/>
      <c r="AI707" s="1374"/>
      <c r="AJ707" s="1374"/>
      <c r="AK707" s="1374"/>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4" t="s">
        <v>388</v>
      </c>
      <c r="C714" s="1365"/>
      <c r="D714" s="1365"/>
      <c r="E714" s="1365"/>
      <c r="F714" s="1366"/>
      <c r="G714" s="1364" t="s">
        <v>284</v>
      </c>
      <c r="H714" s="1365"/>
      <c r="I714" s="1365"/>
      <c r="J714" s="1366"/>
      <c r="K714" s="1720" t="s">
        <v>1679</v>
      </c>
      <c r="L714" s="1721"/>
      <c r="M714" s="1721"/>
      <c r="N714" s="1722"/>
      <c r="O714" s="1364" t="s">
        <v>447</v>
      </c>
      <c r="P714" s="1365"/>
      <c r="Q714" s="1365"/>
      <c r="R714" s="1365"/>
      <c r="S714" s="1366"/>
      <c r="T714" s="1660" t="s">
        <v>1950</v>
      </c>
      <c r="U714" s="1365"/>
      <c r="V714" s="1365"/>
      <c r="W714" s="1366"/>
      <c r="X714" s="1660" t="s">
        <v>1952</v>
      </c>
      <c r="Y714" s="1365"/>
      <c r="Z714" s="1365"/>
      <c r="AA714" s="1365"/>
      <c r="AB714" s="1366"/>
      <c r="AC714" s="1660" t="s">
        <v>1951</v>
      </c>
      <c r="AD714" s="1365"/>
      <c r="AE714" s="1365"/>
      <c r="AF714" s="1365"/>
      <c r="AG714" s="1366"/>
      <c r="AH714" s="1660" t="s">
        <v>1953</v>
      </c>
      <c r="AI714" s="1365"/>
      <c r="AJ714" s="1366"/>
      <c r="AK714" s="1660"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7"/>
      <c r="C715" s="1368"/>
      <c r="D715" s="1368"/>
      <c r="E715" s="1368"/>
      <c r="F715" s="1369"/>
      <c r="G715" s="1367"/>
      <c r="H715" s="1368"/>
      <c r="I715" s="1368"/>
      <c r="J715" s="1369"/>
      <c r="K715" s="1723"/>
      <c r="L715" s="1724"/>
      <c r="M715" s="1724"/>
      <c r="N715" s="1725"/>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7"/>
      <c r="C716" s="1368"/>
      <c r="D716" s="1368"/>
      <c r="E716" s="1368"/>
      <c r="F716" s="1369"/>
      <c r="G716" s="1367"/>
      <c r="H716" s="1368"/>
      <c r="I716" s="1368"/>
      <c r="J716" s="1369"/>
      <c r="K716" s="1723"/>
      <c r="L716" s="1724"/>
      <c r="M716" s="1724"/>
      <c r="N716" s="1725"/>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70"/>
      <c r="C717" s="1371"/>
      <c r="D717" s="1371"/>
      <c r="E717" s="1371"/>
      <c r="F717" s="1372"/>
      <c r="G717" s="1370"/>
      <c r="H717" s="1371"/>
      <c r="I717" s="1371"/>
      <c r="J717" s="1372"/>
      <c r="K717" s="1723"/>
      <c r="L717" s="1724"/>
      <c r="M717" s="1724"/>
      <c r="N717" s="1725"/>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9" t="s">
        <v>633</v>
      </c>
      <c r="CQ717" s="1390"/>
      <c r="CR717" s="1390"/>
      <c r="CS717" s="1390"/>
      <c r="CT717" s="1391"/>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7" t="s">
        <v>323</v>
      </c>
      <c r="C718" s="1338"/>
      <c r="D718" s="1338"/>
      <c r="E718" s="1338"/>
      <c r="F718" s="1339"/>
      <c r="G718" s="1360">
        <v>12</v>
      </c>
      <c r="H718" s="1351"/>
      <c r="I718" s="1351"/>
      <c r="J718" s="1352"/>
      <c r="K718" s="1343">
        <v>378</v>
      </c>
      <c r="L718" s="1344"/>
      <c r="M718" s="1344"/>
      <c r="N718" s="1345"/>
      <c r="O718" s="1340">
        <v>1005</v>
      </c>
      <c r="P718" s="1341"/>
      <c r="Q718" s="1341"/>
      <c r="R718" s="1341"/>
      <c r="S718" s="1342"/>
      <c r="T718" s="1340">
        <v>50</v>
      </c>
      <c r="U718" s="1341"/>
      <c r="V718" s="1341"/>
      <c r="W718" s="1342"/>
      <c r="X718" s="1353">
        <f t="shared" ref="X718:X741" si="9">O718+T718</f>
        <v>1055</v>
      </c>
      <c r="Y718" s="1354"/>
      <c r="Z718" s="1354"/>
      <c r="AA718" s="1354"/>
      <c r="AB718" s="1355"/>
      <c r="AC718" s="1361">
        <v>0.3</v>
      </c>
      <c r="AD718" s="1362"/>
      <c r="AE718" s="1362"/>
      <c r="AF718" s="1362"/>
      <c r="AG718" s="1363"/>
      <c r="AH718" s="1356">
        <f>IF($AC718&gt;0,($X718/$AZ718), "")</f>
        <v>0.30005688282138793</v>
      </c>
      <c r="AI718" s="1357"/>
      <c r="AJ718" s="1358"/>
      <c r="AK718" s="1337" t="s">
        <v>2100</v>
      </c>
      <c r="AL718" s="1338"/>
      <c r="AM718" s="1338"/>
      <c r="AN718" s="1338"/>
      <c r="AO718" s="1339"/>
      <c r="AP718" s="3"/>
      <c r="AQ718" s="3"/>
      <c r="AR718" s="3"/>
      <c r="AS718" s="3"/>
      <c r="AZ718" s="118">
        <f t="shared" ref="AZ718:AZ752" si="10">IF($G718=0,"N/A",VLOOKUP($T$189,TC_Rent,(MATCH($B718,bedrooms,FALSE)),FALSE))</f>
        <v>3516</v>
      </c>
      <c r="BA718" s="3"/>
      <c r="BB718" s="3"/>
      <c r="BC718" s="3"/>
      <c r="BD718" s="3"/>
      <c r="BE718" s="204"/>
      <c r="BF718" s="293">
        <f t="shared" ref="BF718:BF752" si="11">G718</f>
        <v>12</v>
      </c>
      <c r="BG718" s="297">
        <f t="shared" ref="BG718:BG752" si="12">IF($BF$753=0,0,BF718/$BF$753)</f>
        <v>9.375E-2</v>
      </c>
      <c r="BH718" s="298">
        <f t="shared" ref="BH718:BH752" si="13">IF(BG718=0,"",BG718*AC718)</f>
        <v>2.8124999999999997E-2</v>
      </c>
      <c r="BI718" s="3"/>
      <c r="BJ718" s="3"/>
      <c r="BK718" s="3"/>
      <c r="BL718" s="3"/>
      <c r="BM718" s="3"/>
      <c r="BN718" s="3"/>
      <c r="BS718" s="293">
        <f t="shared" ref="BS718:BS752" si="14">G718</f>
        <v>12</v>
      </c>
      <c r="BT718" s="297">
        <f t="shared" ref="BT718:BT752" si="15">IF($BS$753=0,0,BS718/$BS$753)</f>
        <v>9.375E-2</v>
      </c>
      <c r="BU718" s="298">
        <f t="shared" ref="BU718:BU752" si="16">IF(BT718=0,"",BT718*AH718)</f>
        <v>2.813033276450512E-2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12</v>
      </c>
      <c r="CN718" s="1471"/>
      <c r="CO718" s="3"/>
      <c r="CP718" s="1459">
        <f t="shared" ref="CP718:CP752" si="19">IF(B718="SRO/Studio",G718,0)</f>
        <v>12</v>
      </c>
      <c r="CQ718" s="1460"/>
      <c r="CR718" s="1460"/>
      <c r="CS718" s="1460"/>
      <c r="CT718" s="1461"/>
      <c r="CU718" s="1444">
        <f t="shared" ref="CU718:CU752" si="20">IF(B718="1 Bedroom",G718,0)</f>
        <v>0</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12</v>
      </c>
      <c r="DV718" s="1445"/>
      <c r="DW718" s="1445"/>
      <c r="DX718" s="1445"/>
      <c r="DY718" s="1445"/>
      <c r="DZ718" s="1445">
        <f t="shared" ref="DZ718:DZ752" si="26">IF(AND(B718="1 Bedroom",AC718&lt;=0.3),G718,0)</f>
        <v>0</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f t="shared" ref="EZ718:EZ752" si="31">IF(CP718&gt;0,O718,"")</f>
        <v>1005</v>
      </c>
      <c r="FA718" s="1466"/>
      <c r="FB718" s="1466"/>
      <c r="FC718" s="1466"/>
      <c r="FD718" s="1465"/>
      <c r="FE718" s="1464" t="str">
        <f t="shared" ref="FE718:FE752" si="32">IF(CU718&gt;0,O718,"")</f>
        <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3" customHeight="1">
      <c r="A719" s="4"/>
      <c r="B719" s="1337" t="s">
        <v>324</v>
      </c>
      <c r="C719" s="1338"/>
      <c r="D719" s="1338"/>
      <c r="E719" s="1338"/>
      <c r="F719" s="1339"/>
      <c r="G719" s="1360">
        <v>12</v>
      </c>
      <c r="H719" s="1351"/>
      <c r="I719" s="1351"/>
      <c r="J719" s="1352"/>
      <c r="K719" s="1343">
        <v>594</v>
      </c>
      <c r="L719" s="1344"/>
      <c r="M719" s="1344"/>
      <c r="N719" s="1345"/>
      <c r="O719" s="1340">
        <v>1071</v>
      </c>
      <c r="P719" s="1341"/>
      <c r="Q719" s="1341"/>
      <c r="R719" s="1341"/>
      <c r="S719" s="1342"/>
      <c r="T719" s="1340">
        <v>59</v>
      </c>
      <c r="U719" s="1341"/>
      <c r="V719" s="1341"/>
      <c r="W719" s="1342"/>
      <c r="X719" s="1353">
        <f t="shared" si="9"/>
        <v>1130</v>
      </c>
      <c r="Y719" s="1354"/>
      <c r="Z719" s="1354"/>
      <c r="AA719" s="1354"/>
      <c r="AB719" s="1355"/>
      <c r="AC719" s="1361">
        <v>0.3</v>
      </c>
      <c r="AD719" s="1362"/>
      <c r="AE719" s="1362"/>
      <c r="AF719" s="1362"/>
      <c r="AG719" s="1363"/>
      <c r="AH719" s="1356">
        <f t="shared" ref="AH719:AH752" si="37">IF($AC719&gt;0,($X719/$AZ719), "")</f>
        <v>0.29989384288747345</v>
      </c>
      <c r="AI719" s="1357"/>
      <c r="AJ719" s="1358"/>
      <c r="AK719" s="1337" t="s">
        <v>2100</v>
      </c>
      <c r="AL719" s="1338"/>
      <c r="AM719" s="1338"/>
      <c r="AN719" s="1338"/>
      <c r="AO719" s="1339"/>
      <c r="AP719" s="3"/>
      <c r="AQ719" s="3"/>
      <c r="AR719" s="3"/>
      <c r="AS719" s="3"/>
      <c r="AZ719" s="118">
        <f t="shared" si="10"/>
        <v>3768</v>
      </c>
      <c r="BA719" s="3"/>
      <c r="BB719" s="3"/>
      <c r="BC719" s="3"/>
      <c r="BD719" s="3"/>
      <c r="BE719" s="204"/>
      <c r="BF719" s="294">
        <f t="shared" si="11"/>
        <v>12</v>
      </c>
      <c r="BG719" s="297">
        <f t="shared" si="12"/>
        <v>9.375E-2</v>
      </c>
      <c r="BH719" s="298">
        <f t="shared" si="13"/>
        <v>2.8124999999999997E-2</v>
      </c>
      <c r="BI719" s="3"/>
      <c r="BJ719" s="3"/>
      <c r="BK719" s="3"/>
      <c r="BL719" s="3"/>
      <c r="BM719" s="3"/>
      <c r="BN719" s="3"/>
      <c r="BS719" s="294">
        <f t="shared" si="14"/>
        <v>12</v>
      </c>
      <c r="BT719" s="297">
        <f t="shared" si="15"/>
        <v>9.375E-2</v>
      </c>
      <c r="BU719" s="298">
        <f t="shared" si="16"/>
        <v>2.8115047770700636E-2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12</v>
      </c>
      <c r="CN719" s="1471"/>
      <c r="CO719" s="3"/>
      <c r="CP719" s="1459">
        <f t="shared" si="19"/>
        <v>0</v>
      </c>
      <c r="CQ719" s="1460"/>
      <c r="CR719" s="1460"/>
      <c r="CS719" s="1460"/>
      <c r="CT719" s="1461"/>
      <c r="CU719" s="1444">
        <f t="shared" si="20"/>
        <v>12</v>
      </c>
      <c r="CV719" s="1444"/>
      <c r="CW719" s="1444"/>
      <c r="CX719" s="1444"/>
      <c r="CY719" s="1444"/>
      <c r="CZ719" s="1444">
        <f t="shared" si="21"/>
        <v>0</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0</v>
      </c>
      <c r="DV719" s="1445"/>
      <c r="DW719" s="1445"/>
      <c r="DX719" s="1445"/>
      <c r="DY719" s="1445"/>
      <c r="DZ719" s="1445">
        <f t="shared" si="26"/>
        <v>12</v>
      </c>
      <c r="EA719" s="1445"/>
      <c r="EB719" s="1445"/>
      <c r="EC719" s="1445"/>
      <c r="ED719" s="1445"/>
      <c r="EE719" s="1445">
        <f t="shared" si="27"/>
        <v>0</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t="str">
        <f t="shared" si="31"/>
        <v/>
      </c>
      <c r="FA719" s="1466"/>
      <c r="FB719" s="1466"/>
      <c r="FC719" s="1466"/>
      <c r="FD719" s="1465"/>
      <c r="FE719" s="1464">
        <f t="shared" si="32"/>
        <v>1071</v>
      </c>
      <c r="FF719" s="1466"/>
      <c r="FG719" s="1466"/>
      <c r="FH719" s="1466"/>
      <c r="FI719" s="1465"/>
      <c r="FJ719" s="1464" t="str">
        <f t="shared" si="33"/>
        <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3" customHeight="1">
      <c r="A720" s="4"/>
      <c r="B720" s="1337" t="s">
        <v>163</v>
      </c>
      <c r="C720" s="1338"/>
      <c r="D720" s="1338"/>
      <c r="E720" s="1338"/>
      <c r="F720" s="1339"/>
      <c r="G720" s="1360">
        <v>4</v>
      </c>
      <c r="H720" s="1351"/>
      <c r="I720" s="1351"/>
      <c r="J720" s="1352"/>
      <c r="K720" s="1343">
        <v>864</v>
      </c>
      <c r="L720" s="1344"/>
      <c r="M720" s="1344"/>
      <c r="N720" s="1345"/>
      <c r="O720" s="1340">
        <v>1277</v>
      </c>
      <c r="P720" s="1341"/>
      <c r="Q720" s="1341"/>
      <c r="R720" s="1341"/>
      <c r="S720" s="1342"/>
      <c r="T720" s="1340">
        <v>80</v>
      </c>
      <c r="U720" s="1341"/>
      <c r="V720" s="1341"/>
      <c r="W720" s="1342"/>
      <c r="X720" s="1353">
        <f t="shared" si="9"/>
        <v>1357</v>
      </c>
      <c r="Y720" s="1354"/>
      <c r="Z720" s="1354"/>
      <c r="AA720" s="1354"/>
      <c r="AB720" s="1355"/>
      <c r="AC720" s="1361">
        <v>0.3</v>
      </c>
      <c r="AD720" s="1362"/>
      <c r="AE720" s="1362"/>
      <c r="AF720" s="1362"/>
      <c r="AG720" s="1363"/>
      <c r="AH720" s="1356">
        <f t="shared" si="37"/>
        <v>0.30008845643520565</v>
      </c>
      <c r="AI720" s="1357"/>
      <c r="AJ720" s="1358"/>
      <c r="AK720" s="1337" t="s">
        <v>2100</v>
      </c>
      <c r="AL720" s="1338"/>
      <c r="AM720" s="1338"/>
      <c r="AN720" s="1338"/>
      <c r="AO720" s="1339"/>
      <c r="AP720" s="3"/>
      <c r="AQ720" s="3"/>
      <c r="AR720" s="3"/>
      <c r="AS720" s="3"/>
      <c r="AZ720" s="118">
        <f t="shared" si="10"/>
        <v>4522</v>
      </c>
      <c r="BA720" s="3"/>
      <c r="BB720" s="3"/>
      <c r="BC720" s="3"/>
      <c r="BD720" s="3"/>
      <c r="BE720" s="204"/>
      <c r="BF720" s="294">
        <f t="shared" si="11"/>
        <v>4</v>
      </c>
      <c r="BG720" s="297">
        <f t="shared" si="12"/>
        <v>3.125E-2</v>
      </c>
      <c r="BH720" s="298">
        <f t="shared" si="13"/>
        <v>9.3749999999999997E-3</v>
      </c>
      <c r="BI720" s="3"/>
      <c r="BJ720" s="3"/>
      <c r="BK720" s="3"/>
      <c r="BL720" s="3"/>
      <c r="BM720" s="3"/>
      <c r="BN720" s="3"/>
      <c r="BS720" s="294">
        <f t="shared" si="14"/>
        <v>4</v>
      </c>
      <c r="BT720" s="297">
        <f t="shared" si="15"/>
        <v>3.125E-2</v>
      </c>
      <c r="BU720" s="298">
        <f t="shared" si="16"/>
        <v>9.3777642636001766E-3</v>
      </c>
      <c r="CC720" s="3"/>
      <c r="CD720" s="3"/>
      <c r="CE720" s="3"/>
      <c r="CF720" s="3"/>
      <c r="CG720" s="1464">
        <f t="shared" si="38"/>
        <v>0</v>
      </c>
      <c r="CH720" s="1465"/>
      <c r="CI720" s="1470">
        <f t="shared" si="39"/>
        <v>0</v>
      </c>
      <c r="CJ720" s="1471"/>
      <c r="CK720" s="1464">
        <f t="shared" si="17"/>
        <v>1</v>
      </c>
      <c r="CL720" s="1465"/>
      <c r="CM720" s="1470">
        <f t="shared" si="18"/>
        <v>4</v>
      </c>
      <c r="CN720" s="1471"/>
      <c r="CO720" s="3"/>
      <c r="CP720" s="1459">
        <f t="shared" si="19"/>
        <v>0</v>
      </c>
      <c r="CQ720" s="1460"/>
      <c r="CR720" s="1460"/>
      <c r="CS720" s="1460"/>
      <c r="CT720" s="1461"/>
      <c r="CU720" s="1444">
        <f t="shared" si="20"/>
        <v>0</v>
      </c>
      <c r="CV720" s="1444"/>
      <c r="CW720" s="1444"/>
      <c r="CX720" s="1444"/>
      <c r="CY720" s="1444"/>
      <c r="CZ720" s="1444">
        <f t="shared" si="21"/>
        <v>4</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0</v>
      </c>
      <c r="DV720" s="1445"/>
      <c r="DW720" s="1445"/>
      <c r="DX720" s="1445"/>
      <c r="DY720" s="1445"/>
      <c r="DZ720" s="1445">
        <f t="shared" si="26"/>
        <v>0</v>
      </c>
      <c r="EA720" s="1445"/>
      <c r="EB720" s="1445"/>
      <c r="EC720" s="1445"/>
      <c r="ED720" s="1445"/>
      <c r="EE720" s="1445">
        <f t="shared" si="27"/>
        <v>4</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t="str">
        <f t="shared" si="31"/>
        <v/>
      </c>
      <c r="FA720" s="1466"/>
      <c r="FB720" s="1466"/>
      <c r="FC720" s="1466"/>
      <c r="FD720" s="1465"/>
      <c r="FE720" s="1464" t="str">
        <f t="shared" si="32"/>
        <v/>
      </c>
      <c r="FF720" s="1466"/>
      <c r="FG720" s="1466"/>
      <c r="FH720" s="1466"/>
      <c r="FI720" s="1465"/>
      <c r="FJ720" s="1464">
        <f t="shared" si="33"/>
        <v>1277</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3" customHeight="1">
      <c r="B721" s="1337" t="s">
        <v>164</v>
      </c>
      <c r="C721" s="1338"/>
      <c r="D721" s="1338"/>
      <c r="E721" s="1338"/>
      <c r="F721" s="1339"/>
      <c r="G721" s="1360">
        <v>4</v>
      </c>
      <c r="H721" s="1351"/>
      <c r="I721" s="1351"/>
      <c r="J721" s="1352"/>
      <c r="K721" s="1343">
        <v>1080</v>
      </c>
      <c r="L721" s="1344"/>
      <c r="M721" s="1344"/>
      <c r="N721" s="1345"/>
      <c r="O721" s="1340">
        <v>1464</v>
      </c>
      <c r="P721" s="1341"/>
      <c r="Q721" s="1341"/>
      <c r="R721" s="1341"/>
      <c r="S721" s="1342"/>
      <c r="T721" s="1340">
        <v>103</v>
      </c>
      <c r="U721" s="1341"/>
      <c r="V721" s="1341"/>
      <c r="W721" s="1342"/>
      <c r="X721" s="1353">
        <f t="shared" si="9"/>
        <v>1567</v>
      </c>
      <c r="Y721" s="1354"/>
      <c r="Z721" s="1354"/>
      <c r="AA721" s="1354"/>
      <c r="AB721" s="1355"/>
      <c r="AC721" s="1361">
        <v>0.3</v>
      </c>
      <c r="AD721" s="1362"/>
      <c r="AE721" s="1362"/>
      <c r="AF721" s="1362"/>
      <c r="AG721" s="1363"/>
      <c r="AH721" s="1356">
        <f t="shared" si="37"/>
        <v>0.30007659900421296</v>
      </c>
      <c r="AI721" s="1357"/>
      <c r="AJ721" s="1358"/>
      <c r="AK721" s="1337" t="s">
        <v>2100</v>
      </c>
      <c r="AL721" s="1338"/>
      <c r="AM721" s="1338"/>
      <c r="AN721" s="1338"/>
      <c r="AO721" s="1339"/>
      <c r="AP721" s="3"/>
      <c r="AQ721" s="3"/>
      <c r="AR721" s="3"/>
      <c r="AS721" s="3"/>
      <c r="AY721" s="116"/>
      <c r="AZ721" s="118">
        <f t="shared" si="10"/>
        <v>5222</v>
      </c>
      <c r="BA721" s="3"/>
      <c r="BB721" s="3"/>
      <c r="BC721" s="3"/>
      <c r="BD721" s="3"/>
      <c r="BE721" s="204"/>
      <c r="BF721" s="294">
        <f t="shared" si="11"/>
        <v>4</v>
      </c>
      <c r="BG721" s="297">
        <f t="shared" si="12"/>
        <v>3.125E-2</v>
      </c>
      <c r="BH721" s="298">
        <f t="shared" si="13"/>
        <v>9.3749999999999997E-3</v>
      </c>
      <c r="BI721" s="3"/>
      <c r="BJ721" s="3"/>
      <c r="BK721" s="3"/>
      <c r="BL721" s="3"/>
      <c r="BM721" s="3"/>
      <c r="BN721" s="3"/>
      <c r="BS721" s="294">
        <f t="shared" si="14"/>
        <v>4</v>
      </c>
      <c r="BT721" s="297">
        <f t="shared" si="15"/>
        <v>3.125E-2</v>
      </c>
      <c r="BU721" s="298">
        <f t="shared" si="16"/>
        <v>9.3773937188816551E-3</v>
      </c>
      <c r="CC721" s="3"/>
      <c r="CD721" s="3"/>
      <c r="CE721" s="3"/>
      <c r="CF721" s="3"/>
      <c r="CG721" s="1464">
        <f t="shared" si="38"/>
        <v>0</v>
      </c>
      <c r="CH721" s="1465"/>
      <c r="CI721" s="1470">
        <f t="shared" si="39"/>
        <v>0</v>
      </c>
      <c r="CJ721" s="1471"/>
      <c r="CK721" s="1464">
        <f t="shared" si="17"/>
        <v>1</v>
      </c>
      <c r="CL721" s="1465"/>
      <c r="CM721" s="1470">
        <f t="shared" si="18"/>
        <v>4</v>
      </c>
      <c r="CN721" s="1471"/>
      <c r="CO721" s="3"/>
      <c r="CP721" s="1459">
        <f t="shared" si="19"/>
        <v>0</v>
      </c>
      <c r="CQ721" s="1460"/>
      <c r="CR721" s="1460"/>
      <c r="CS721" s="1460"/>
      <c r="CT721" s="1461"/>
      <c r="CU721" s="1444">
        <f t="shared" si="20"/>
        <v>0</v>
      </c>
      <c r="CV721" s="1444"/>
      <c r="CW721" s="1444"/>
      <c r="CX721" s="1444"/>
      <c r="CY721" s="1444"/>
      <c r="CZ721" s="1444">
        <f t="shared" si="21"/>
        <v>0</v>
      </c>
      <c r="DA721" s="1444"/>
      <c r="DB721" s="1444"/>
      <c r="DC721" s="1444"/>
      <c r="DD721" s="1444"/>
      <c r="DE721" s="1444">
        <f t="shared" si="22"/>
        <v>4</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4</v>
      </c>
      <c r="EK721" s="1445"/>
      <c r="EL721" s="1445"/>
      <c r="EM721" s="1445"/>
      <c r="EN721" s="1445"/>
      <c r="EO721" s="1445">
        <f t="shared" si="29"/>
        <v>0</v>
      </c>
      <c r="EP721" s="1445"/>
      <c r="EQ721" s="1445"/>
      <c r="ER721" s="1445"/>
      <c r="ES721" s="1445"/>
      <c r="ET721" s="1445">
        <f t="shared" si="30"/>
        <v>0</v>
      </c>
      <c r="EU721" s="1445"/>
      <c r="EV721" s="1445"/>
      <c r="EW721" s="1445"/>
      <c r="EX721" s="1445"/>
      <c r="EZ721" s="1464" t="str">
        <f t="shared" si="31"/>
        <v/>
      </c>
      <c r="FA721" s="1466"/>
      <c r="FB721" s="1466"/>
      <c r="FC721" s="1466"/>
      <c r="FD721" s="1465"/>
      <c r="FE721" s="1464" t="str">
        <f t="shared" si="32"/>
        <v/>
      </c>
      <c r="FF721" s="1466"/>
      <c r="FG721" s="1466"/>
      <c r="FH721" s="1466"/>
      <c r="FI721" s="1465"/>
      <c r="FJ721" s="1464" t="str">
        <f t="shared" si="33"/>
        <v/>
      </c>
      <c r="FK721" s="1466"/>
      <c r="FL721" s="1466"/>
      <c r="FM721" s="1466"/>
      <c r="FN721" s="1465"/>
      <c r="FO721" s="1464">
        <f t="shared" si="34"/>
        <v>1464</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3" customHeight="1">
      <c r="B722" s="1337" t="s">
        <v>163</v>
      </c>
      <c r="C722" s="1338"/>
      <c r="D722" s="1338"/>
      <c r="E722" s="1338"/>
      <c r="F722" s="1339"/>
      <c r="G722" s="1360">
        <v>16</v>
      </c>
      <c r="H722" s="1351"/>
      <c r="I722" s="1351"/>
      <c r="J722" s="1352"/>
      <c r="K722" s="1343">
        <v>864</v>
      </c>
      <c r="L722" s="1344"/>
      <c r="M722" s="1344"/>
      <c r="N722" s="1345"/>
      <c r="O722" s="1340">
        <v>1277</v>
      </c>
      <c r="P722" s="1341"/>
      <c r="Q722" s="1341"/>
      <c r="R722" s="1341"/>
      <c r="S722" s="1342"/>
      <c r="T722" s="1340">
        <v>80</v>
      </c>
      <c r="U722" s="1341"/>
      <c r="V722" s="1341"/>
      <c r="W722" s="1342"/>
      <c r="X722" s="1353">
        <f t="shared" si="9"/>
        <v>1357</v>
      </c>
      <c r="Y722" s="1354"/>
      <c r="Z722" s="1354"/>
      <c r="AA722" s="1354"/>
      <c r="AB722" s="1355"/>
      <c r="AC722" s="1361">
        <v>0.3</v>
      </c>
      <c r="AD722" s="1362"/>
      <c r="AE722" s="1362"/>
      <c r="AF722" s="1362"/>
      <c r="AG722" s="1363"/>
      <c r="AH722" s="1356">
        <f t="shared" si="37"/>
        <v>0.30008845643520565</v>
      </c>
      <c r="AI722" s="1357"/>
      <c r="AJ722" s="1358"/>
      <c r="AK722" s="1337" t="s">
        <v>591</v>
      </c>
      <c r="AL722" s="1338"/>
      <c r="AM722" s="1338"/>
      <c r="AN722" s="1338"/>
      <c r="AO722" s="1339"/>
      <c r="AP722" s="3"/>
      <c r="AQ722" s="3"/>
      <c r="AR722" s="3"/>
      <c r="AS722" s="3"/>
      <c r="AY722" s="116"/>
      <c r="AZ722" s="118">
        <f t="shared" si="10"/>
        <v>4522</v>
      </c>
      <c r="BA722" s="3"/>
      <c r="BB722" s="3"/>
      <c r="BC722" s="3"/>
      <c r="BD722" s="3"/>
      <c r="BE722" s="204"/>
      <c r="BF722" s="294">
        <f t="shared" si="11"/>
        <v>16</v>
      </c>
      <c r="BG722" s="297">
        <f t="shared" si="12"/>
        <v>0.125</v>
      </c>
      <c r="BH722" s="298">
        <f t="shared" si="13"/>
        <v>3.7499999999999999E-2</v>
      </c>
      <c r="BI722" s="3"/>
      <c r="BJ722" s="3"/>
      <c r="BK722" s="3"/>
      <c r="BL722" s="3"/>
      <c r="BM722" s="3"/>
      <c r="BN722" s="3"/>
      <c r="BS722" s="294">
        <f t="shared" si="14"/>
        <v>16</v>
      </c>
      <c r="BT722" s="297">
        <f t="shared" si="15"/>
        <v>0.125</v>
      </c>
      <c r="BU722" s="298">
        <f t="shared" si="16"/>
        <v>3.7511057054400707E-2</v>
      </c>
      <c r="CC722" s="3"/>
      <c r="CD722" s="3"/>
      <c r="CE722" s="3"/>
      <c r="CF722" s="3"/>
      <c r="CG722" s="1464">
        <f t="shared" si="38"/>
        <v>0</v>
      </c>
      <c r="CH722" s="1465"/>
      <c r="CI722" s="1470">
        <f t="shared" si="39"/>
        <v>0</v>
      </c>
      <c r="CJ722" s="1471"/>
      <c r="CK722" s="1464">
        <f t="shared" si="17"/>
        <v>1</v>
      </c>
      <c r="CL722" s="1465"/>
      <c r="CM722" s="1470">
        <f t="shared" si="18"/>
        <v>16</v>
      </c>
      <c r="CN722" s="1471"/>
      <c r="CO722" s="3"/>
      <c r="CP722" s="1459">
        <f t="shared" si="19"/>
        <v>0</v>
      </c>
      <c r="CQ722" s="1460"/>
      <c r="CR722" s="1460"/>
      <c r="CS722" s="1460"/>
      <c r="CT722" s="1461"/>
      <c r="CU722" s="1444">
        <f t="shared" si="20"/>
        <v>0</v>
      </c>
      <c r="CV722" s="1444"/>
      <c r="CW722" s="1444"/>
      <c r="CX722" s="1444"/>
      <c r="CY722" s="1444"/>
      <c r="CZ722" s="1444">
        <f t="shared" si="21"/>
        <v>16</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0</v>
      </c>
      <c r="EA722" s="1445"/>
      <c r="EB722" s="1445"/>
      <c r="EC722" s="1445"/>
      <c r="ED722" s="1445"/>
      <c r="EE722" s="1445">
        <f t="shared" si="27"/>
        <v>16</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t="str">
        <f t="shared" si="32"/>
        <v/>
      </c>
      <c r="FF722" s="1466"/>
      <c r="FG722" s="1466"/>
      <c r="FH722" s="1466"/>
      <c r="FI722" s="1465"/>
      <c r="FJ722" s="1464">
        <f t="shared" si="33"/>
        <v>1277</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3" customHeight="1">
      <c r="B723" s="1337" t="s">
        <v>164</v>
      </c>
      <c r="C723" s="1338"/>
      <c r="D723" s="1338"/>
      <c r="E723" s="1338"/>
      <c r="F723" s="1339"/>
      <c r="G723" s="1360">
        <v>16</v>
      </c>
      <c r="H723" s="1351"/>
      <c r="I723" s="1351"/>
      <c r="J723" s="1352"/>
      <c r="K723" s="1343">
        <v>1080</v>
      </c>
      <c r="L723" s="1344"/>
      <c r="M723" s="1344"/>
      <c r="N723" s="1345"/>
      <c r="O723" s="1733">
        <v>1464</v>
      </c>
      <c r="P723" s="1341"/>
      <c r="Q723" s="1341"/>
      <c r="R723" s="1341"/>
      <c r="S723" s="1342"/>
      <c r="T723" s="1340">
        <v>103</v>
      </c>
      <c r="U723" s="1341"/>
      <c r="V723" s="1341"/>
      <c r="W723" s="1342"/>
      <c r="X723" s="1353">
        <f t="shared" si="9"/>
        <v>1567</v>
      </c>
      <c r="Y723" s="1354"/>
      <c r="Z723" s="1354"/>
      <c r="AA723" s="1354"/>
      <c r="AB723" s="1355"/>
      <c r="AC723" s="1361">
        <v>0.3</v>
      </c>
      <c r="AD723" s="1362"/>
      <c r="AE723" s="1362"/>
      <c r="AF723" s="1362"/>
      <c r="AG723" s="1363"/>
      <c r="AH723" s="1356">
        <f t="shared" si="37"/>
        <v>0.30007659900421296</v>
      </c>
      <c r="AI723" s="1357"/>
      <c r="AJ723" s="1358"/>
      <c r="AK723" s="1337" t="s">
        <v>591</v>
      </c>
      <c r="AL723" s="1338"/>
      <c r="AM723" s="1338"/>
      <c r="AN723" s="1338"/>
      <c r="AO723" s="1339"/>
      <c r="AP723" s="3"/>
      <c r="AQ723" s="3"/>
      <c r="AR723" s="3"/>
      <c r="AS723" s="3"/>
      <c r="AY723" s="116"/>
      <c r="AZ723" s="118">
        <f t="shared" si="10"/>
        <v>5222</v>
      </c>
      <c r="BA723" s="3"/>
      <c r="BB723" s="3"/>
      <c r="BC723" s="3"/>
      <c r="BD723" s="3"/>
      <c r="BE723" s="204"/>
      <c r="BF723" s="294">
        <f t="shared" si="11"/>
        <v>16</v>
      </c>
      <c r="BG723" s="297">
        <f t="shared" si="12"/>
        <v>0.125</v>
      </c>
      <c r="BH723" s="298">
        <f t="shared" si="13"/>
        <v>3.7499999999999999E-2</v>
      </c>
      <c r="BI723" s="3"/>
      <c r="BJ723" s="3"/>
      <c r="BK723" s="3"/>
      <c r="BL723" s="3"/>
      <c r="BM723" s="3"/>
      <c r="BN723" s="3"/>
      <c r="BS723" s="294">
        <f t="shared" si="14"/>
        <v>16</v>
      </c>
      <c r="BT723" s="297">
        <f t="shared" si="15"/>
        <v>0.125</v>
      </c>
      <c r="BU723" s="298">
        <f t="shared" si="16"/>
        <v>3.750957487552662E-2</v>
      </c>
      <c r="CC723" s="3"/>
      <c r="CD723" s="3"/>
      <c r="CE723" s="3"/>
      <c r="CF723" s="3"/>
      <c r="CG723" s="1464">
        <f t="shared" si="38"/>
        <v>0</v>
      </c>
      <c r="CH723" s="1465"/>
      <c r="CI723" s="1470">
        <f t="shared" si="39"/>
        <v>0</v>
      </c>
      <c r="CJ723" s="1471"/>
      <c r="CK723" s="1464">
        <f t="shared" si="17"/>
        <v>1</v>
      </c>
      <c r="CL723" s="1465"/>
      <c r="CM723" s="1470">
        <f t="shared" si="18"/>
        <v>16</v>
      </c>
      <c r="CN723" s="1471"/>
      <c r="CO723" s="3"/>
      <c r="CP723" s="1459">
        <f t="shared" si="19"/>
        <v>0</v>
      </c>
      <c r="CQ723" s="1460"/>
      <c r="CR723" s="1460"/>
      <c r="CS723" s="1460"/>
      <c r="CT723" s="1461"/>
      <c r="CU723" s="1444">
        <f t="shared" si="20"/>
        <v>0</v>
      </c>
      <c r="CV723" s="1444"/>
      <c r="CW723" s="1444"/>
      <c r="CX723" s="1444"/>
      <c r="CY723" s="1444"/>
      <c r="CZ723" s="1444">
        <f t="shared" si="21"/>
        <v>0</v>
      </c>
      <c r="DA723" s="1444"/>
      <c r="DB723" s="1444"/>
      <c r="DC723" s="1444"/>
      <c r="DD723" s="1444"/>
      <c r="DE723" s="1444">
        <f t="shared" si="22"/>
        <v>16</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16</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t="str">
        <f t="shared" si="32"/>
        <v/>
      </c>
      <c r="FF723" s="1466"/>
      <c r="FG723" s="1466"/>
      <c r="FH723" s="1466"/>
      <c r="FI723" s="1465"/>
      <c r="FJ723" s="1464" t="str">
        <f t="shared" si="33"/>
        <v/>
      </c>
      <c r="FK723" s="1466"/>
      <c r="FL723" s="1466"/>
      <c r="FM723" s="1466"/>
      <c r="FN723" s="1465"/>
      <c r="FO723" s="1464">
        <f t="shared" si="34"/>
        <v>1464</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3" customHeight="1">
      <c r="B724" s="1337" t="s">
        <v>323</v>
      </c>
      <c r="C724" s="1338"/>
      <c r="D724" s="1338"/>
      <c r="E724" s="1338"/>
      <c r="F724" s="1339"/>
      <c r="G724" s="1360">
        <v>6</v>
      </c>
      <c r="H724" s="1351"/>
      <c r="I724" s="1351"/>
      <c r="J724" s="1352"/>
      <c r="K724" s="1343">
        <v>378</v>
      </c>
      <c r="L724" s="1344"/>
      <c r="M724" s="1344"/>
      <c r="N724" s="1345"/>
      <c r="O724" s="1340">
        <v>1356</v>
      </c>
      <c r="P724" s="1341"/>
      <c r="Q724" s="1341"/>
      <c r="R724" s="1341"/>
      <c r="S724" s="1342"/>
      <c r="T724" s="1340">
        <v>50</v>
      </c>
      <c r="U724" s="1341"/>
      <c r="V724" s="1341"/>
      <c r="W724" s="1342"/>
      <c r="X724" s="1353">
        <f t="shared" si="9"/>
        <v>1406</v>
      </c>
      <c r="Y724" s="1354"/>
      <c r="Z724" s="1354"/>
      <c r="AA724" s="1354"/>
      <c r="AB724" s="1355"/>
      <c r="AC724" s="1361">
        <v>0.4</v>
      </c>
      <c r="AD724" s="1362"/>
      <c r="AE724" s="1362"/>
      <c r="AF724" s="1362"/>
      <c r="AG724" s="1363"/>
      <c r="AH724" s="1356">
        <f t="shared" si="37"/>
        <v>0.39988623435722409</v>
      </c>
      <c r="AI724" s="1357"/>
      <c r="AJ724" s="1358"/>
      <c r="AK724" s="1337" t="s">
        <v>591</v>
      </c>
      <c r="AL724" s="1338"/>
      <c r="AM724" s="1338"/>
      <c r="AN724" s="1338"/>
      <c r="AO724" s="1339"/>
      <c r="AP724" s="3"/>
      <c r="AQ724" s="3"/>
      <c r="AR724" s="3"/>
      <c r="AS724" s="3"/>
      <c r="AY724" s="116"/>
      <c r="AZ724" s="118">
        <f t="shared" si="10"/>
        <v>3516</v>
      </c>
      <c r="BA724" s="3"/>
      <c r="BB724" s="3"/>
      <c r="BC724" s="3"/>
      <c r="BD724" s="3"/>
      <c r="BE724" s="204"/>
      <c r="BF724" s="294">
        <f t="shared" si="11"/>
        <v>6</v>
      </c>
      <c r="BG724" s="297">
        <f t="shared" si="12"/>
        <v>4.6875E-2</v>
      </c>
      <c r="BH724" s="298">
        <f t="shared" si="13"/>
        <v>1.8750000000000003E-2</v>
      </c>
      <c r="BI724" s="3"/>
      <c r="BJ724" s="3"/>
      <c r="BK724" s="3"/>
      <c r="BL724" s="3"/>
      <c r="BM724" s="3"/>
      <c r="BN724" s="3"/>
      <c r="BS724" s="294">
        <f t="shared" si="14"/>
        <v>6</v>
      </c>
      <c r="BT724" s="297">
        <f t="shared" si="15"/>
        <v>4.6875E-2</v>
      </c>
      <c r="BU724" s="298">
        <f t="shared" si="16"/>
        <v>1.874466723549488E-2</v>
      </c>
      <c r="CC724" s="3"/>
      <c r="CE724" s="3"/>
      <c r="CF724" s="3"/>
      <c r="CG724" s="1464">
        <f t="shared" si="38"/>
        <v>1</v>
      </c>
      <c r="CH724" s="1465"/>
      <c r="CI724" s="1470">
        <f t="shared" si="39"/>
        <v>6</v>
      </c>
      <c r="CJ724" s="1471"/>
      <c r="CK724" s="1464">
        <f t="shared" si="17"/>
        <v>0</v>
      </c>
      <c r="CL724" s="1465"/>
      <c r="CM724" s="1470">
        <f t="shared" si="18"/>
        <v>0</v>
      </c>
      <c r="CN724" s="1471"/>
      <c r="CO724" s="3"/>
      <c r="CP724" s="1459">
        <f t="shared" si="19"/>
        <v>6</v>
      </c>
      <c r="CQ724" s="1460"/>
      <c r="CR724" s="1460"/>
      <c r="CS724" s="1460"/>
      <c r="CT724" s="1461"/>
      <c r="CU724" s="1444">
        <f t="shared" si="20"/>
        <v>0</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f t="shared" si="31"/>
        <v>1356</v>
      </c>
      <c r="FA724" s="1466"/>
      <c r="FB724" s="1466"/>
      <c r="FC724" s="1466"/>
      <c r="FD724" s="1465"/>
      <c r="FE724" s="1464" t="str">
        <f t="shared" si="32"/>
        <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3" customHeight="1">
      <c r="B725" s="1337" t="s">
        <v>324</v>
      </c>
      <c r="C725" s="1338"/>
      <c r="D725" s="1338"/>
      <c r="E725" s="1338"/>
      <c r="F725" s="1339"/>
      <c r="G725" s="1360">
        <v>6</v>
      </c>
      <c r="H725" s="1351"/>
      <c r="I725" s="1351"/>
      <c r="J725" s="1352"/>
      <c r="K725" s="1343">
        <v>594</v>
      </c>
      <c r="L725" s="1344"/>
      <c r="M725" s="1344"/>
      <c r="N725" s="1345"/>
      <c r="O725" s="1340">
        <v>1448</v>
      </c>
      <c r="P725" s="1341"/>
      <c r="Q725" s="1341"/>
      <c r="R725" s="1341"/>
      <c r="S725" s="1342"/>
      <c r="T725" s="1340">
        <v>59</v>
      </c>
      <c r="U725" s="1341"/>
      <c r="V725" s="1341"/>
      <c r="W725" s="1342"/>
      <c r="X725" s="1353">
        <f t="shared" si="9"/>
        <v>1507</v>
      </c>
      <c r="Y725" s="1354"/>
      <c r="Z725" s="1354"/>
      <c r="AA725" s="1354"/>
      <c r="AB725" s="1355"/>
      <c r="AC725" s="1361">
        <v>0.4</v>
      </c>
      <c r="AD725" s="1362"/>
      <c r="AE725" s="1362"/>
      <c r="AF725" s="1362"/>
      <c r="AG725" s="1363"/>
      <c r="AH725" s="1356">
        <f t="shared" si="37"/>
        <v>0.39994692144373672</v>
      </c>
      <c r="AI725" s="1357"/>
      <c r="AJ725" s="1358"/>
      <c r="AK725" s="1337" t="s">
        <v>591</v>
      </c>
      <c r="AL725" s="1338"/>
      <c r="AM725" s="1338"/>
      <c r="AN725" s="1338"/>
      <c r="AO725" s="1339"/>
      <c r="AP725" s="3"/>
      <c r="AQ725" s="3"/>
      <c r="AR725" s="3"/>
      <c r="AS725" s="3"/>
      <c r="AY725" s="1085"/>
      <c r="AZ725" s="118">
        <f t="shared" si="10"/>
        <v>3768</v>
      </c>
      <c r="BA725" s="3"/>
      <c r="BB725" s="3"/>
      <c r="BC725" s="3"/>
      <c r="BD725" s="3"/>
      <c r="BE725" s="204"/>
      <c r="BF725" s="294">
        <f t="shared" si="11"/>
        <v>6</v>
      </c>
      <c r="BG725" s="297">
        <f t="shared" si="12"/>
        <v>4.6875E-2</v>
      </c>
      <c r="BH725" s="298">
        <f t="shared" si="13"/>
        <v>1.8750000000000003E-2</v>
      </c>
      <c r="BI725" s="3"/>
      <c r="BJ725" s="3"/>
      <c r="BK725" s="3"/>
      <c r="BL725" s="3"/>
      <c r="BM725" s="3"/>
      <c r="BN725" s="3"/>
      <c r="BS725" s="294">
        <f t="shared" si="14"/>
        <v>6</v>
      </c>
      <c r="BT725" s="297">
        <f t="shared" si="15"/>
        <v>4.6875E-2</v>
      </c>
      <c r="BU725" s="298">
        <f t="shared" si="16"/>
        <v>1.8747511942675158E-2</v>
      </c>
      <c r="BV725" s="292"/>
      <c r="BW725" s="3"/>
      <c r="BX725" s="3"/>
      <c r="BY725" s="3"/>
      <c r="BZ725" s="3"/>
      <c r="CA725" s="3"/>
      <c r="CB725" s="3"/>
      <c r="CC725" s="3"/>
      <c r="CE725" s="3"/>
      <c r="CF725" s="3"/>
      <c r="CG725" s="1464">
        <f t="shared" si="38"/>
        <v>1</v>
      </c>
      <c r="CH725" s="1465"/>
      <c r="CI725" s="1470">
        <f t="shared" si="39"/>
        <v>6</v>
      </c>
      <c r="CJ725" s="1471"/>
      <c r="CK725" s="1464">
        <f t="shared" si="17"/>
        <v>0</v>
      </c>
      <c r="CL725" s="1465"/>
      <c r="CM725" s="1470">
        <f t="shared" si="18"/>
        <v>0</v>
      </c>
      <c r="CN725" s="1471"/>
      <c r="CO725" s="3"/>
      <c r="CP725" s="1459">
        <f t="shared" si="19"/>
        <v>0</v>
      </c>
      <c r="CQ725" s="1460"/>
      <c r="CR725" s="1460"/>
      <c r="CS725" s="1460"/>
      <c r="CT725" s="1461"/>
      <c r="CU725" s="1444">
        <f t="shared" si="20"/>
        <v>6</v>
      </c>
      <c r="CV725" s="1444"/>
      <c r="CW725" s="1444"/>
      <c r="CX725" s="1444"/>
      <c r="CY725" s="1444"/>
      <c r="CZ725" s="1444">
        <f t="shared" si="21"/>
        <v>0</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f t="shared" si="32"/>
        <v>1448</v>
      </c>
      <c r="FF725" s="1466"/>
      <c r="FG725" s="1466"/>
      <c r="FH725" s="1466"/>
      <c r="FI725" s="1465"/>
      <c r="FJ725" s="1464" t="str">
        <f t="shared" si="33"/>
        <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3" customHeight="1">
      <c r="B726" s="1337" t="s">
        <v>163</v>
      </c>
      <c r="C726" s="1338"/>
      <c r="D726" s="1338"/>
      <c r="E726" s="1338"/>
      <c r="F726" s="1339"/>
      <c r="G726" s="1350">
        <v>1</v>
      </c>
      <c r="H726" s="1351"/>
      <c r="I726" s="1351"/>
      <c r="J726" s="1352"/>
      <c r="K726" s="1343">
        <v>864</v>
      </c>
      <c r="L726" s="1344"/>
      <c r="M726" s="1344"/>
      <c r="N726" s="1345"/>
      <c r="O726" s="1340">
        <v>1729</v>
      </c>
      <c r="P726" s="1341"/>
      <c r="Q726" s="1341"/>
      <c r="R726" s="1341"/>
      <c r="S726" s="1342"/>
      <c r="T726" s="1340">
        <v>80</v>
      </c>
      <c r="U726" s="1341"/>
      <c r="V726" s="1341"/>
      <c r="W726" s="1342"/>
      <c r="X726" s="1353">
        <f t="shared" si="9"/>
        <v>1809</v>
      </c>
      <c r="Y726" s="1354"/>
      <c r="Z726" s="1354"/>
      <c r="AA726" s="1354"/>
      <c r="AB726" s="1355"/>
      <c r="AC726" s="1361">
        <v>0.4</v>
      </c>
      <c r="AD726" s="1362"/>
      <c r="AE726" s="1362"/>
      <c r="AF726" s="1362"/>
      <c r="AG726" s="1363"/>
      <c r="AH726" s="1356">
        <f t="shared" si="37"/>
        <v>0.40004422821760283</v>
      </c>
      <c r="AI726" s="1357"/>
      <c r="AJ726" s="1358"/>
      <c r="AK726" s="1337" t="s">
        <v>591</v>
      </c>
      <c r="AL726" s="1338"/>
      <c r="AM726" s="1338"/>
      <c r="AN726" s="1338"/>
      <c r="AO726" s="1339"/>
      <c r="AP726" s="3"/>
      <c r="AQ726" s="3"/>
      <c r="AR726" s="3"/>
      <c r="AS726" s="3"/>
      <c r="AY726" s="1085"/>
      <c r="AZ726" s="118">
        <f t="shared" si="10"/>
        <v>4522</v>
      </c>
      <c r="BA726" s="3"/>
      <c r="BB726" s="3"/>
      <c r="BC726" s="3"/>
      <c r="BD726" s="3"/>
      <c r="BE726" s="204"/>
      <c r="BF726" s="294">
        <f t="shared" si="11"/>
        <v>1</v>
      </c>
      <c r="BG726" s="297">
        <f t="shared" si="12"/>
        <v>7.8125E-3</v>
      </c>
      <c r="BH726" s="298">
        <f t="shared" si="13"/>
        <v>3.1250000000000002E-3</v>
      </c>
      <c r="BI726" s="3"/>
      <c r="BJ726" s="3"/>
      <c r="BK726" s="3"/>
      <c r="BL726" s="3"/>
      <c r="BM726" s="3"/>
      <c r="BN726" s="3"/>
      <c r="BS726" s="294">
        <f t="shared" si="14"/>
        <v>1</v>
      </c>
      <c r="BT726" s="297">
        <f t="shared" si="15"/>
        <v>7.8125E-3</v>
      </c>
      <c r="BU726" s="298">
        <f t="shared" si="16"/>
        <v>3.1253455329500221E-3</v>
      </c>
      <c r="BV726" s="3"/>
      <c r="BW726" s="3"/>
      <c r="BX726" s="3"/>
      <c r="BY726" s="3"/>
      <c r="BZ726" s="3"/>
      <c r="CA726" s="3"/>
      <c r="CB726" s="3"/>
      <c r="CC726" s="3"/>
      <c r="CE726" s="3"/>
      <c r="CF726" s="3"/>
      <c r="CG726" s="1464">
        <f t="shared" si="38"/>
        <v>1</v>
      </c>
      <c r="CH726" s="1465"/>
      <c r="CI726" s="1470">
        <f t="shared" si="39"/>
        <v>1</v>
      </c>
      <c r="CJ726" s="1471"/>
      <c r="CK726" s="1464">
        <f t="shared" si="17"/>
        <v>0</v>
      </c>
      <c r="CL726" s="1465"/>
      <c r="CM726" s="1470">
        <f t="shared" si="18"/>
        <v>0</v>
      </c>
      <c r="CN726" s="1471"/>
      <c r="CO726" s="3"/>
      <c r="CP726" s="1459">
        <f t="shared" si="19"/>
        <v>0</v>
      </c>
      <c r="CQ726" s="1460"/>
      <c r="CR726" s="1460"/>
      <c r="CS726" s="1460"/>
      <c r="CT726" s="1461"/>
      <c r="CU726" s="1444">
        <f t="shared" si="20"/>
        <v>0</v>
      </c>
      <c r="CV726" s="1444"/>
      <c r="CW726" s="1444"/>
      <c r="CX726" s="1444"/>
      <c r="CY726" s="1444"/>
      <c r="CZ726" s="1444">
        <f t="shared" si="21"/>
        <v>1</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t="str">
        <f t="shared" si="31"/>
        <v/>
      </c>
      <c r="FA726" s="1466"/>
      <c r="FB726" s="1466"/>
      <c r="FC726" s="1466"/>
      <c r="FD726" s="1465"/>
      <c r="FE726" s="1464" t="str">
        <f t="shared" si="32"/>
        <v/>
      </c>
      <c r="FF726" s="1466"/>
      <c r="FG726" s="1466"/>
      <c r="FH726" s="1466"/>
      <c r="FI726" s="1465"/>
      <c r="FJ726" s="1464">
        <f t="shared" si="33"/>
        <v>1729</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3" customHeight="1">
      <c r="A727" s="4"/>
      <c r="B727" s="1337" t="s">
        <v>164</v>
      </c>
      <c r="C727" s="1338"/>
      <c r="D727" s="1338"/>
      <c r="E727" s="1338"/>
      <c r="F727" s="1339"/>
      <c r="G727" s="1350">
        <v>1</v>
      </c>
      <c r="H727" s="1351"/>
      <c r="I727" s="1351"/>
      <c r="J727" s="1352"/>
      <c r="K727" s="1343">
        <v>1080</v>
      </c>
      <c r="L727" s="1344"/>
      <c r="M727" s="1344"/>
      <c r="N727" s="1345"/>
      <c r="O727" s="1340">
        <v>1986</v>
      </c>
      <c r="P727" s="1341"/>
      <c r="Q727" s="1341"/>
      <c r="R727" s="1341"/>
      <c r="S727" s="1342"/>
      <c r="T727" s="1340">
        <v>103</v>
      </c>
      <c r="U727" s="1341"/>
      <c r="V727" s="1341"/>
      <c r="W727" s="1342"/>
      <c r="X727" s="1353">
        <f t="shared" si="9"/>
        <v>2089</v>
      </c>
      <c r="Y727" s="1354"/>
      <c r="Z727" s="1354"/>
      <c r="AA727" s="1354"/>
      <c r="AB727" s="1355"/>
      <c r="AC727" s="1361">
        <v>0.4</v>
      </c>
      <c r="AD727" s="1362"/>
      <c r="AE727" s="1362"/>
      <c r="AF727" s="1362"/>
      <c r="AG727" s="1363"/>
      <c r="AH727" s="1356">
        <f t="shared" si="37"/>
        <v>0.40003829950210645</v>
      </c>
      <c r="AI727" s="1357"/>
      <c r="AJ727" s="1358"/>
      <c r="AK727" s="1337" t="s">
        <v>591</v>
      </c>
      <c r="AL727" s="1338"/>
      <c r="AM727" s="1338"/>
      <c r="AN727" s="1338"/>
      <c r="AO727" s="1339"/>
      <c r="AP727" s="3"/>
      <c r="AQ727" s="3"/>
      <c r="AR727" s="3"/>
      <c r="AS727" s="3"/>
      <c r="AY727" s="1085"/>
      <c r="AZ727" s="118">
        <f t="shared" si="10"/>
        <v>5222</v>
      </c>
      <c r="BA727" s="3"/>
      <c r="BB727" s="3"/>
      <c r="BC727" s="3"/>
      <c r="BD727" s="3"/>
      <c r="BE727" s="204"/>
      <c r="BF727" s="294">
        <f t="shared" si="11"/>
        <v>1</v>
      </c>
      <c r="BG727" s="297">
        <f t="shared" si="12"/>
        <v>7.8125E-3</v>
      </c>
      <c r="BH727" s="298">
        <f t="shared" si="13"/>
        <v>3.1250000000000002E-3</v>
      </c>
      <c r="BI727" s="3"/>
      <c r="BJ727" s="3"/>
      <c r="BK727" s="3"/>
      <c r="BL727" s="3"/>
      <c r="BM727" s="3"/>
      <c r="BN727" s="3"/>
      <c r="BS727" s="294">
        <f t="shared" si="14"/>
        <v>1</v>
      </c>
      <c r="BT727" s="297">
        <f t="shared" si="15"/>
        <v>7.8125E-3</v>
      </c>
      <c r="BU727" s="298">
        <f t="shared" si="16"/>
        <v>3.1252992148602067E-3</v>
      </c>
      <c r="BV727" s="3"/>
      <c r="BW727" s="3"/>
      <c r="BX727" s="3"/>
      <c r="BY727" s="3"/>
      <c r="BZ727" s="3"/>
      <c r="CA727" s="3"/>
      <c r="CB727" s="3"/>
      <c r="CC727" s="3"/>
      <c r="CE727" s="3"/>
      <c r="CF727" s="3"/>
      <c r="CG727" s="1464">
        <f t="shared" si="38"/>
        <v>1</v>
      </c>
      <c r="CH727" s="1465"/>
      <c r="CI727" s="1470">
        <f t="shared" si="39"/>
        <v>1</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1</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f t="shared" si="34"/>
        <v>1986</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3" customHeight="1">
      <c r="A728" s="4"/>
      <c r="B728" s="1337" t="s">
        <v>163</v>
      </c>
      <c r="C728" s="1338"/>
      <c r="D728" s="1338"/>
      <c r="E728" s="1338"/>
      <c r="F728" s="1339"/>
      <c r="G728" s="1360">
        <v>3</v>
      </c>
      <c r="H728" s="1351"/>
      <c r="I728" s="1351"/>
      <c r="J728" s="1352"/>
      <c r="K728" s="1343">
        <v>864</v>
      </c>
      <c r="L728" s="1344"/>
      <c r="M728" s="1344"/>
      <c r="N728" s="1345"/>
      <c r="O728" s="1340">
        <v>1729</v>
      </c>
      <c r="P728" s="1341"/>
      <c r="Q728" s="1341"/>
      <c r="R728" s="1341"/>
      <c r="S728" s="1342"/>
      <c r="T728" s="1340">
        <v>80</v>
      </c>
      <c r="U728" s="1341"/>
      <c r="V728" s="1341"/>
      <c r="W728" s="1342"/>
      <c r="X728" s="1353">
        <f t="shared" si="9"/>
        <v>1809</v>
      </c>
      <c r="Y728" s="1354"/>
      <c r="Z728" s="1354"/>
      <c r="AA728" s="1354"/>
      <c r="AB728" s="1355"/>
      <c r="AC728" s="1361">
        <v>0.4</v>
      </c>
      <c r="AD728" s="1362"/>
      <c r="AE728" s="1362"/>
      <c r="AF728" s="1362"/>
      <c r="AG728" s="1363"/>
      <c r="AH728" s="1356">
        <f t="shared" si="37"/>
        <v>0.40004422821760283</v>
      </c>
      <c r="AI728" s="1357"/>
      <c r="AJ728" s="1358"/>
      <c r="AK728" s="1337" t="s">
        <v>591</v>
      </c>
      <c r="AL728" s="1338"/>
      <c r="AM728" s="1338"/>
      <c r="AN728" s="1338"/>
      <c r="AO728" s="1339"/>
      <c r="AP728" s="3"/>
      <c r="AQ728" s="3"/>
      <c r="AR728" s="3"/>
      <c r="AS728" s="3"/>
      <c r="AY728" s="1085"/>
      <c r="AZ728" s="118">
        <f t="shared" si="10"/>
        <v>4522</v>
      </c>
      <c r="BA728" s="3"/>
      <c r="BB728" s="3"/>
      <c r="BC728" s="3"/>
      <c r="BD728" s="3"/>
      <c r="BE728" s="204"/>
      <c r="BF728" s="294">
        <f t="shared" si="11"/>
        <v>3</v>
      </c>
      <c r="BG728" s="297">
        <f t="shared" si="12"/>
        <v>2.34375E-2</v>
      </c>
      <c r="BH728" s="298">
        <f t="shared" si="13"/>
        <v>9.3750000000000014E-3</v>
      </c>
      <c r="BI728" s="3"/>
      <c r="BJ728" s="3"/>
      <c r="BK728" s="3"/>
      <c r="BL728" s="3"/>
      <c r="BM728" s="3"/>
      <c r="BN728" s="3"/>
      <c r="BS728" s="294">
        <f t="shared" si="14"/>
        <v>3</v>
      </c>
      <c r="BT728" s="297">
        <f t="shared" si="15"/>
        <v>2.34375E-2</v>
      </c>
      <c r="BU728" s="298">
        <f t="shared" si="16"/>
        <v>9.3760365988500658E-3</v>
      </c>
      <c r="BV728" s="3"/>
      <c r="BW728" s="3"/>
      <c r="BX728" s="3"/>
      <c r="BY728" s="3"/>
      <c r="BZ728" s="3"/>
      <c r="CA728" s="3"/>
      <c r="CB728" s="3"/>
      <c r="CC728" s="3"/>
      <c r="CE728" s="3"/>
      <c r="CF728" s="3"/>
      <c r="CG728" s="1464">
        <f t="shared" si="38"/>
        <v>1</v>
      </c>
      <c r="CH728" s="1465"/>
      <c r="CI728" s="1470">
        <f t="shared" si="39"/>
        <v>3</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3</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f t="shared" si="33"/>
        <v>1729</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3" customHeight="1">
      <c r="A729" s="4"/>
      <c r="B729" s="1337" t="s">
        <v>164</v>
      </c>
      <c r="C729" s="1338"/>
      <c r="D729" s="1338"/>
      <c r="E729" s="1338"/>
      <c r="F729" s="1339"/>
      <c r="G729" s="1360">
        <v>3</v>
      </c>
      <c r="H729" s="1351"/>
      <c r="I729" s="1351"/>
      <c r="J729" s="1352"/>
      <c r="K729" s="1343">
        <v>1080</v>
      </c>
      <c r="L729" s="1344"/>
      <c r="M729" s="1344"/>
      <c r="N729" s="1345"/>
      <c r="O729" s="1340">
        <v>1986</v>
      </c>
      <c r="P729" s="1341"/>
      <c r="Q729" s="1341"/>
      <c r="R729" s="1341"/>
      <c r="S729" s="1342"/>
      <c r="T729" s="1340">
        <v>103</v>
      </c>
      <c r="U729" s="1341"/>
      <c r="V729" s="1341"/>
      <c r="W729" s="1342"/>
      <c r="X729" s="1353">
        <f t="shared" si="9"/>
        <v>2089</v>
      </c>
      <c r="Y729" s="1354"/>
      <c r="Z729" s="1354"/>
      <c r="AA729" s="1354"/>
      <c r="AB729" s="1355"/>
      <c r="AC729" s="1361">
        <v>0.4</v>
      </c>
      <c r="AD729" s="1362"/>
      <c r="AE729" s="1362"/>
      <c r="AF729" s="1362"/>
      <c r="AG729" s="1363"/>
      <c r="AH729" s="1356">
        <f t="shared" si="37"/>
        <v>0.40003829950210645</v>
      </c>
      <c r="AI729" s="1357"/>
      <c r="AJ729" s="1358"/>
      <c r="AK729" s="1337" t="s">
        <v>591</v>
      </c>
      <c r="AL729" s="1338"/>
      <c r="AM729" s="1338"/>
      <c r="AN729" s="1338"/>
      <c r="AO729" s="1339"/>
      <c r="AP729" s="3"/>
      <c r="AQ729" s="3"/>
      <c r="AR729" s="3"/>
      <c r="AS729" s="3"/>
      <c r="AY729" s="1085"/>
      <c r="AZ729" s="118">
        <f t="shared" si="10"/>
        <v>5222</v>
      </c>
      <c r="BA729" s="3"/>
      <c r="BB729" s="3"/>
      <c r="BC729" s="3"/>
      <c r="BD729" s="3"/>
      <c r="BE729" s="204"/>
      <c r="BF729" s="294">
        <f t="shared" si="11"/>
        <v>3</v>
      </c>
      <c r="BG729" s="297">
        <f t="shared" si="12"/>
        <v>2.34375E-2</v>
      </c>
      <c r="BH729" s="298">
        <f t="shared" si="13"/>
        <v>9.3750000000000014E-3</v>
      </c>
      <c r="BI729" s="3"/>
      <c r="BJ729" s="3"/>
      <c r="BK729" s="3"/>
      <c r="BL729" s="3"/>
      <c r="BM729" s="3"/>
      <c r="BN729" s="3"/>
      <c r="BS729" s="294">
        <f t="shared" si="14"/>
        <v>3</v>
      </c>
      <c r="BT729" s="297">
        <f t="shared" si="15"/>
        <v>2.34375E-2</v>
      </c>
      <c r="BU729" s="298">
        <f t="shared" si="16"/>
        <v>9.3758976445806191E-3</v>
      </c>
      <c r="BV729" s="3"/>
      <c r="BW729" s="3"/>
      <c r="BX729" s="3"/>
      <c r="BY729" s="3"/>
      <c r="BZ729" s="3"/>
      <c r="CA729" s="3"/>
      <c r="CB729" s="3"/>
      <c r="CC729" s="3"/>
      <c r="CE729" s="3"/>
      <c r="CF729" s="3"/>
      <c r="CG729" s="1464">
        <f t="shared" si="38"/>
        <v>1</v>
      </c>
      <c r="CH729" s="1465"/>
      <c r="CI729" s="1470">
        <f t="shared" si="39"/>
        <v>3</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3</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f t="shared" si="34"/>
        <v>1986</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3" customHeight="1">
      <c r="B730" s="1337" t="s">
        <v>323</v>
      </c>
      <c r="C730" s="1338"/>
      <c r="D730" s="1338"/>
      <c r="E730" s="1338"/>
      <c r="F730" s="1339"/>
      <c r="G730" s="1350">
        <v>4</v>
      </c>
      <c r="H730" s="1351"/>
      <c r="I730" s="1351"/>
      <c r="J730" s="1352"/>
      <c r="K730" s="1343">
        <v>1080</v>
      </c>
      <c r="L730" s="1344"/>
      <c r="M730" s="1344"/>
      <c r="N730" s="1345"/>
      <c r="O730" s="1340">
        <v>1708</v>
      </c>
      <c r="P730" s="1341"/>
      <c r="Q730" s="1341"/>
      <c r="R730" s="1341"/>
      <c r="S730" s="1342"/>
      <c r="T730" s="1340">
        <v>50</v>
      </c>
      <c r="U730" s="1341"/>
      <c r="V730" s="1341"/>
      <c r="W730" s="1342"/>
      <c r="X730" s="1353">
        <f t="shared" si="9"/>
        <v>1758</v>
      </c>
      <c r="Y730" s="1354"/>
      <c r="Z730" s="1354"/>
      <c r="AA730" s="1354"/>
      <c r="AB730" s="1355"/>
      <c r="AC730" s="1361">
        <v>0.5</v>
      </c>
      <c r="AD730" s="1362"/>
      <c r="AE730" s="1362"/>
      <c r="AF730" s="1362"/>
      <c r="AG730" s="1363"/>
      <c r="AH730" s="1356">
        <f t="shared" si="37"/>
        <v>0.5</v>
      </c>
      <c r="AI730" s="1357"/>
      <c r="AJ730" s="1358"/>
      <c r="AK730" s="1337" t="s">
        <v>591</v>
      </c>
      <c r="AL730" s="1338"/>
      <c r="AM730" s="1338"/>
      <c r="AN730" s="1338"/>
      <c r="AO730" s="1339"/>
      <c r="AP730" s="3"/>
      <c r="AQ730" s="3"/>
      <c r="AR730" s="3"/>
      <c r="AS730" s="3"/>
      <c r="AY730" s="1085"/>
      <c r="AZ730" s="118">
        <f t="shared" si="10"/>
        <v>3516</v>
      </c>
      <c r="BA730" s="3"/>
      <c r="BB730" s="3"/>
      <c r="BC730" s="3"/>
      <c r="BD730" s="3"/>
      <c r="BE730" s="204"/>
      <c r="BF730" s="294">
        <f t="shared" si="11"/>
        <v>4</v>
      </c>
      <c r="BG730" s="297">
        <f t="shared" si="12"/>
        <v>3.125E-2</v>
      </c>
      <c r="BH730" s="298">
        <f t="shared" si="13"/>
        <v>1.5625E-2</v>
      </c>
      <c r="BI730" s="3"/>
      <c r="BJ730" s="3"/>
      <c r="BK730" s="3"/>
      <c r="BL730" s="3"/>
      <c r="BM730" s="3"/>
      <c r="BN730" s="3"/>
      <c r="BS730" s="294">
        <f t="shared" si="14"/>
        <v>4</v>
      </c>
      <c r="BT730" s="297">
        <f t="shared" si="15"/>
        <v>3.125E-2</v>
      </c>
      <c r="BU730" s="298">
        <f t="shared" si="16"/>
        <v>1.5625E-2</v>
      </c>
      <c r="BV730" s="3"/>
      <c r="BW730" s="3"/>
      <c r="BX730" s="3"/>
      <c r="BY730" s="3"/>
      <c r="BZ730" s="3"/>
      <c r="CA730" s="3"/>
      <c r="CB730" s="3"/>
      <c r="CC730" s="3"/>
      <c r="CE730" s="3"/>
      <c r="CF730" s="3"/>
      <c r="CG730" s="1464">
        <f t="shared" si="38"/>
        <v>1</v>
      </c>
      <c r="CH730" s="1465"/>
      <c r="CI730" s="1470">
        <f t="shared" si="39"/>
        <v>4</v>
      </c>
      <c r="CJ730" s="1471"/>
      <c r="CK730" s="1464">
        <f t="shared" si="17"/>
        <v>0</v>
      </c>
      <c r="CL730" s="1465"/>
      <c r="CM730" s="1470">
        <f t="shared" si="18"/>
        <v>0</v>
      </c>
      <c r="CN730" s="1471"/>
      <c r="CO730" s="3"/>
      <c r="CP730" s="1459">
        <f t="shared" si="19"/>
        <v>4</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f t="shared" si="31"/>
        <v>1708</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3" customHeight="1">
      <c r="B731" s="1337" t="s">
        <v>324</v>
      </c>
      <c r="C731" s="1338"/>
      <c r="D731" s="1338"/>
      <c r="E731" s="1338"/>
      <c r="F731" s="1339"/>
      <c r="G731" s="1350">
        <v>7</v>
      </c>
      <c r="H731" s="1351"/>
      <c r="I731" s="1351"/>
      <c r="J731" s="1352"/>
      <c r="K731" s="1343">
        <v>594</v>
      </c>
      <c r="L731" s="1344"/>
      <c r="M731" s="1344"/>
      <c r="N731" s="1345"/>
      <c r="O731" s="1340">
        <v>1825</v>
      </c>
      <c r="P731" s="1341"/>
      <c r="Q731" s="1341"/>
      <c r="R731" s="1341"/>
      <c r="S731" s="1342"/>
      <c r="T731" s="1340">
        <v>59</v>
      </c>
      <c r="U731" s="1341"/>
      <c r="V731" s="1341"/>
      <c r="W731" s="1342"/>
      <c r="X731" s="1353">
        <f t="shared" si="9"/>
        <v>1884</v>
      </c>
      <c r="Y731" s="1354"/>
      <c r="Z731" s="1354"/>
      <c r="AA731" s="1354"/>
      <c r="AB731" s="1355"/>
      <c r="AC731" s="1361">
        <v>0.5</v>
      </c>
      <c r="AD731" s="1362"/>
      <c r="AE731" s="1362"/>
      <c r="AF731" s="1362"/>
      <c r="AG731" s="1363"/>
      <c r="AH731" s="1356">
        <f t="shared" si="37"/>
        <v>0.5</v>
      </c>
      <c r="AI731" s="1357"/>
      <c r="AJ731" s="1358"/>
      <c r="AK731" s="1337" t="s">
        <v>591</v>
      </c>
      <c r="AL731" s="1338"/>
      <c r="AM731" s="1338"/>
      <c r="AN731" s="1338"/>
      <c r="AO731" s="1339"/>
      <c r="AP731" s="3"/>
      <c r="AQ731" s="3"/>
      <c r="AR731" s="3"/>
      <c r="AS731" s="3"/>
      <c r="AY731" s="1085"/>
      <c r="AZ731" s="118">
        <f t="shared" si="10"/>
        <v>3768</v>
      </c>
      <c r="BA731" s="3"/>
      <c r="BB731" s="3"/>
      <c r="BC731" s="3"/>
      <c r="BD731" s="3"/>
      <c r="BE731" s="204"/>
      <c r="BF731" s="294">
        <f t="shared" si="11"/>
        <v>7</v>
      </c>
      <c r="BG731" s="297">
        <f t="shared" si="12"/>
        <v>5.46875E-2</v>
      </c>
      <c r="BH731" s="298">
        <f t="shared" si="13"/>
        <v>2.734375E-2</v>
      </c>
      <c r="BI731" s="3"/>
      <c r="BJ731" s="3"/>
      <c r="BK731" s="3"/>
      <c r="BL731" s="3"/>
      <c r="BM731" s="3"/>
      <c r="BN731" s="3"/>
      <c r="BS731" s="294">
        <f t="shared" si="14"/>
        <v>7</v>
      </c>
      <c r="BT731" s="297">
        <f t="shared" si="15"/>
        <v>5.46875E-2</v>
      </c>
      <c r="BU731" s="298">
        <f t="shared" si="16"/>
        <v>2.734375E-2</v>
      </c>
      <c r="BV731" s="3"/>
      <c r="BW731" s="3"/>
      <c r="BX731" s="3"/>
      <c r="BY731" s="3"/>
      <c r="BZ731" s="3"/>
      <c r="CA731" s="3"/>
      <c r="CB731" s="3"/>
      <c r="CC731" s="3"/>
      <c r="CE731" s="3"/>
      <c r="CF731" s="3"/>
      <c r="CG731" s="1464">
        <f t="shared" si="38"/>
        <v>1</v>
      </c>
      <c r="CH731" s="1465"/>
      <c r="CI731" s="1470">
        <f t="shared" si="39"/>
        <v>7</v>
      </c>
      <c r="CJ731" s="1471"/>
      <c r="CK731" s="1464">
        <f t="shared" si="17"/>
        <v>0</v>
      </c>
      <c r="CL731" s="1465"/>
      <c r="CM731" s="1470">
        <f t="shared" si="18"/>
        <v>0</v>
      </c>
      <c r="CN731" s="1471"/>
      <c r="CO731" s="3"/>
      <c r="CP731" s="1459">
        <f t="shared" si="19"/>
        <v>0</v>
      </c>
      <c r="CQ731" s="1460"/>
      <c r="CR731" s="1460"/>
      <c r="CS731" s="1460"/>
      <c r="CT731" s="1461"/>
      <c r="CU731" s="1444">
        <f t="shared" si="20"/>
        <v>7</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f t="shared" si="32"/>
        <v>1825</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3" customHeight="1">
      <c r="B732" s="1337" t="s">
        <v>163</v>
      </c>
      <c r="C732" s="1338"/>
      <c r="D732" s="1338"/>
      <c r="E732" s="1338"/>
      <c r="F732" s="1339"/>
      <c r="G732" s="1350">
        <v>2</v>
      </c>
      <c r="H732" s="1351"/>
      <c r="I732" s="1351"/>
      <c r="J732" s="1352"/>
      <c r="K732" s="1343">
        <v>864</v>
      </c>
      <c r="L732" s="1344"/>
      <c r="M732" s="1344"/>
      <c r="N732" s="1345"/>
      <c r="O732" s="1340">
        <v>2181</v>
      </c>
      <c r="P732" s="1341"/>
      <c r="Q732" s="1341"/>
      <c r="R732" s="1341"/>
      <c r="S732" s="1342"/>
      <c r="T732" s="1340">
        <v>80</v>
      </c>
      <c r="U732" s="1341"/>
      <c r="V732" s="1341"/>
      <c r="W732" s="1342"/>
      <c r="X732" s="1353">
        <f t="shared" si="9"/>
        <v>2261</v>
      </c>
      <c r="Y732" s="1354"/>
      <c r="Z732" s="1354"/>
      <c r="AA732" s="1354"/>
      <c r="AB732" s="1355"/>
      <c r="AC732" s="1361">
        <v>0.5</v>
      </c>
      <c r="AD732" s="1362"/>
      <c r="AE732" s="1362"/>
      <c r="AF732" s="1362"/>
      <c r="AG732" s="1363"/>
      <c r="AH732" s="1356">
        <f t="shared" si="37"/>
        <v>0.5</v>
      </c>
      <c r="AI732" s="1357"/>
      <c r="AJ732" s="1358"/>
      <c r="AK732" s="1337" t="s">
        <v>591</v>
      </c>
      <c r="AL732" s="1338"/>
      <c r="AM732" s="1338"/>
      <c r="AN732" s="1338"/>
      <c r="AO732" s="1339"/>
      <c r="AP732" s="3"/>
      <c r="AQ732" s="3"/>
      <c r="AR732" s="3"/>
      <c r="AS732" s="3"/>
      <c r="AY732" s="1085"/>
      <c r="AZ732" s="118">
        <f t="shared" si="10"/>
        <v>4522</v>
      </c>
      <c r="BA732" s="3"/>
      <c r="BB732" s="3"/>
      <c r="BC732" s="3"/>
      <c r="BD732" s="3"/>
      <c r="BE732" s="204"/>
      <c r="BF732" s="294">
        <f t="shared" si="11"/>
        <v>2</v>
      </c>
      <c r="BG732" s="297">
        <f t="shared" si="12"/>
        <v>1.5625E-2</v>
      </c>
      <c r="BH732" s="298">
        <f t="shared" si="13"/>
        <v>7.8125E-3</v>
      </c>
      <c r="BI732" s="3"/>
      <c r="BJ732" s="3"/>
      <c r="BK732" s="3"/>
      <c r="BL732" s="3"/>
      <c r="BM732" s="3"/>
      <c r="BN732" s="3"/>
      <c r="BS732" s="294">
        <f t="shared" si="14"/>
        <v>2</v>
      </c>
      <c r="BT732" s="297">
        <f t="shared" si="15"/>
        <v>1.5625E-2</v>
      </c>
      <c r="BU732" s="298">
        <f t="shared" si="16"/>
        <v>7.8125E-3</v>
      </c>
      <c r="BV732" s="3"/>
      <c r="BW732" s="3"/>
      <c r="BX732" s="3"/>
      <c r="BY732" s="3"/>
      <c r="BZ732" s="3"/>
      <c r="CA732" s="3"/>
      <c r="CB732" s="3"/>
      <c r="CC732" s="3"/>
      <c r="CE732" s="3"/>
      <c r="CF732" s="3"/>
      <c r="CG732" s="1464">
        <f t="shared" si="38"/>
        <v>1</v>
      </c>
      <c r="CH732" s="1465"/>
      <c r="CI732" s="1470">
        <f t="shared" si="39"/>
        <v>2</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2</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f t="shared" si="33"/>
        <v>2181</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3" customHeight="1">
      <c r="B733" s="1337" t="s">
        <v>164</v>
      </c>
      <c r="C733" s="1338"/>
      <c r="D733" s="1338"/>
      <c r="E733" s="1338"/>
      <c r="F733" s="1339"/>
      <c r="G733" s="1350">
        <v>2</v>
      </c>
      <c r="H733" s="1351"/>
      <c r="I733" s="1351"/>
      <c r="J733" s="1352"/>
      <c r="K733" s="1343">
        <v>1080</v>
      </c>
      <c r="L733" s="1344"/>
      <c r="M733" s="1344"/>
      <c r="N733" s="1345"/>
      <c r="O733" s="1340">
        <v>2508</v>
      </c>
      <c r="P733" s="1341"/>
      <c r="Q733" s="1341"/>
      <c r="R733" s="1341"/>
      <c r="S733" s="1342"/>
      <c r="T733" s="1340">
        <v>103</v>
      </c>
      <c r="U733" s="1341"/>
      <c r="V733" s="1341"/>
      <c r="W733" s="1342"/>
      <c r="X733" s="1353">
        <f t="shared" si="9"/>
        <v>2611</v>
      </c>
      <c r="Y733" s="1354"/>
      <c r="Z733" s="1354"/>
      <c r="AA733" s="1354"/>
      <c r="AB733" s="1355"/>
      <c r="AC733" s="1361">
        <v>0.5</v>
      </c>
      <c r="AD733" s="1362"/>
      <c r="AE733" s="1362"/>
      <c r="AF733" s="1362"/>
      <c r="AG733" s="1363"/>
      <c r="AH733" s="1356">
        <f t="shared" si="37"/>
        <v>0.5</v>
      </c>
      <c r="AI733" s="1357"/>
      <c r="AJ733" s="1358"/>
      <c r="AK733" s="1337" t="s">
        <v>591</v>
      </c>
      <c r="AL733" s="1338"/>
      <c r="AM733" s="1338"/>
      <c r="AN733" s="1338"/>
      <c r="AO733" s="1339"/>
      <c r="AP733" s="3"/>
      <c r="AQ733" s="3"/>
      <c r="AR733" s="3"/>
      <c r="AS733" s="3"/>
      <c r="AY733" s="1085"/>
      <c r="AZ733" s="118">
        <f t="shared" si="10"/>
        <v>5222</v>
      </c>
      <c r="BA733" s="3"/>
      <c r="BB733" s="3"/>
      <c r="BC733" s="3"/>
      <c r="BD733" s="3"/>
      <c r="BE733" s="204"/>
      <c r="BF733" s="294">
        <f t="shared" si="11"/>
        <v>2</v>
      </c>
      <c r="BG733" s="297">
        <f t="shared" si="12"/>
        <v>1.5625E-2</v>
      </c>
      <c r="BH733" s="298">
        <f t="shared" si="13"/>
        <v>7.8125E-3</v>
      </c>
      <c r="BI733" s="3"/>
      <c r="BJ733" s="3"/>
      <c r="BK733" s="3"/>
      <c r="BL733" s="3"/>
      <c r="BM733" s="3"/>
      <c r="BN733" s="3"/>
      <c r="BS733" s="294">
        <f t="shared" si="14"/>
        <v>2</v>
      </c>
      <c r="BT733" s="297">
        <f t="shared" si="15"/>
        <v>1.5625E-2</v>
      </c>
      <c r="BU733" s="298">
        <f t="shared" si="16"/>
        <v>7.8125E-3</v>
      </c>
      <c r="BV733" s="3"/>
      <c r="BW733" s="3"/>
      <c r="BX733" s="3"/>
      <c r="BY733" s="3"/>
      <c r="BZ733" s="3"/>
      <c r="CA733" s="3"/>
      <c r="CB733" s="3"/>
      <c r="CC733" s="3"/>
      <c r="CE733" s="3"/>
      <c r="CF733" s="3"/>
      <c r="CG733" s="1464">
        <f t="shared" si="38"/>
        <v>1</v>
      </c>
      <c r="CH733" s="1465"/>
      <c r="CI733" s="1470">
        <f t="shared" si="39"/>
        <v>2</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2</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f t="shared" si="34"/>
        <v>2508</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3" customHeight="1">
      <c r="B734" s="1337" t="s">
        <v>163</v>
      </c>
      <c r="C734" s="1338"/>
      <c r="D734" s="1338"/>
      <c r="E734" s="1338"/>
      <c r="F734" s="1339"/>
      <c r="G734" s="1360">
        <v>2</v>
      </c>
      <c r="H734" s="1351"/>
      <c r="I734" s="1351"/>
      <c r="J734" s="1352"/>
      <c r="K734" s="1343">
        <v>594</v>
      </c>
      <c r="L734" s="1344"/>
      <c r="M734" s="1344"/>
      <c r="N734" s="1345"/>
      <c r="O734" s="1340">
        <v>2181</v>
      </c>
      <c r="P734" s="1341"/>
      <c r="Q734" s="1341"/>
      <c r="R734" s="1341"/>
      <c r="S734" s="1342"/>
      <c r="T734" s="1340">
        <v>80</v>
      </c>
      <c r="U734" s="1341"/>
      <c r="V734" s="1341"/>
      <c r="W734" s="1342"/>
      <c r="X734" s="1353">
        <f t="shared" si="9"/>
        <v>2261</v>
      </c>
      <c r="Y734" s="1354"/>
      <c r="Z734" s="1354"/>
      <c r="AA734" s="1354"/>
      <c r="AB734" s="1355"/>
      <c r="AC734" s="1361">
        <v>0.5</v>
      </c>
      <c r="AD734" s="1362"/>
      <c r="AE734" s="1362"/>
      <c r="AF734" s="1362"/>
      <c r="AG734" s="1363"/>
      <c r="AH734" s="1356">
        <f t="shared" si="37"/>
        <v>0.5</v>
      </c>
      <c r="AI734" s="1357"/>
      <c r="AJ734" s="1358"/>
      <c r="AK734" s="1337" t="s">
        <v>591</v>
      </c>
      <c r="AL734" s="1338"/>
      <c r="AM734" s="1338"/>
      <c r="AN734" s="1338"/>
      <c r="AO734" s="1339"/>
      <c r="AP734" s="3"/>
      <c r="AQ734" s="3"/>
      <c r="AR734" s="3"/>
      <c r="AS734" s="3"/>
      <c r="AY734" s="1085"/>
      <c r="AZ734" s="118">
        <f t="shared" si="10"/>
        <v>4522</v>
      </c>
      <c r="BA734" s="3"/>
      <c r="BB734" s="3"/>
      <c r="BC734" s="3"/>
      <c r="BD734" s="3"/>
      <c r="BE734" s="204"/>
      <c r="BF734" s="294">
        <f t="shared" si="11"/>
        <v>2</v>
      </c>
      <c r="BG734" s="297">
        <f t="shared" si="12"/>
        <v>1.5625E-2</v>
      </c>
      <c r="BH734" s="298">
        <f t="shared" si="13"/>
        <v>7.8125E-3</v>
      </c>
      <c r="BI734" s="3"/>
      <c r="BJ734" s="3"/>
      <c r="BK734" s="3"/>
      <c r="BL734" s="3"/>
      <c r="BM734" s="3"/>
      <c r="BN734" s="3"/>
      <c r="BS734" s="294">
        <f t="shared" si="14"/>
        <v>2</v>
      </c>
      <c r="BT734" s="297">
        <f t="shared" si="15"/>
        <v>1.5625E-2</v>
      </c>
      <c r="BU734" s="298">
        <f t="shared" si="16"/>
        <v>7.8125E-3</v>
      </c>
      <c r="BV734" s="3"/>
      <c r="BW734" s="3"/>
      <c r="BX734" s="3"/>
      <c r="BY734" s="3"/>
      <c r="BZ734" s="3"/>
      <c r="CA734" s="3"/>
      <c r="CB734" s="3"/>
      <c r="CC734" s="3"/>
      <c r="CE734" s="3"/>
      <c r="CF734" s="3"/>
      <c r="CG734" s="1464">
        <f t="shared" si="38"/>
        <v>1</v>
      </c>
      <c r="CH734" s="1465"/>
      <c r="CI734" s="1470">
        <f t="shared" si="39"/>
        <v>2</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2</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f t="shared" si="33"/>
        <v>2181</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3" customHeight="1">
      <c r="B735" s="1337" t="s">
        <v>164</v>
      </c>
      <c r="C735" s="1338"/>
      <c r="D735" s="1338"/>
      <c r="E735" s="1338"/>
      <c r="F735" s="1339"/>
      <c r="G735" s="1360">
        <v>2</v>
      </c>
      <c r="H735" s="1351"/>
      <c r="I735" s="1351"/>
      <c r="J735" s="1352"/>
      <c r="K735" s="1343">
        <v>864</v>
      </c>
      <c r="L735" s="1344"/>
      <c r="M735" s="1344"/>
      <c r="N735" s="1345"/>
      <c r="O735" s="1340">
        <v>2508</v>
      </c>
      <c r="P735" s="1341"/>
      <c r="Q735" s="1341"/>
      <c r="R735" s="1341"/>
      <c r="S735" s="1342"/>
      <c r="T735" s="1340">
        <v>103</v>
      </c>
      <c r="U735" s="1341"/>
      <c r="V735" s="1341"/>
      <c r="W735" s="1342"/>
      <c r="X735" s="1353">
        <f t="shared" si="9"/>
        <v>2611</v>
      </c>
      <c r="Y735" s="1354"/>
      <c r="Z735" s="1354"/>
      <c r="AA735" s="1354"/>
      <c r="AB735" s="1355"/>
      <c r="AC735" s="1361">
        <v>0.5</v>
      </c>
      <c r="AD735" s="1362"/>
      <c r="AE735" s="1362"/>
      <c r="AF735" s="1362"/>
      <c r="AG735" s="1363"/>
      <c r="AH735" s="1356">
        <f t="shared" si="37"/>
        <v>0.5</v>
      </c>
      <c r="AI735" s="1357"/>
      <c r="AJ735" s="1358"/>
      <c r="AK735" s="1337" t="s">
        <v>591</v>
      </c>
      <c r="AL735" s="1338"/>
      <c r="AM735" s="1338"/>
      <c r="AN735" s="1338"/>
      <c r="AO735" s="1339"/>
      <c r="AP735" s="3"/>
      <c r="AQ735" s="3"/>
      <c r="AR735" s="3"/>
      <c r="AS735" s="3"/>
      <c r="AY735" s="1085"/>
      <c r="AZ735" s="118">
        <f t="shared" si="10"/>
        <v>5222</v>
      </c>
      <c r="BA735" s="3"/>
      <c r="BB735" s="3"/>
      <c r="BC735" s="3"/>
      <c r="BD735" s="3"/>
      <c r="BE735" s="204"/>
      <c r="BF735" s="294">
        <f t="shared" si="11"/>
        <v>2</v>
      </c>
      <c r="BG735" s="297">
        <f t="shared" si="12"/>
        <v>1.5625E-2</v>
      </c>
      <c r="BH735" s="298">
        <f t="shared" si="13"/>
        <v>7.8125E-3</v>
      </c>
      <c r="BI735" s="3"/>
      <c r="BJ735" s="3"/>
      <c r="BK735" s="3"/>
      <c r="BL735" s="3"/>
      <c r="BM735" s="3"/>
      <c r="BN735" s="3"/>
      <c r="BS735" s="294">
        <f t="shared" si="14"/>
        <v>2</v>
      </c>
      <c r="BT735" s="297">
        <f t="shared" si="15"/>
        <v>1.5625E-2</v>
      </c>
      <c r="BU735" s="298">
        <f t="shared" si="16"/>
        <v>7.8125E-3</v>
      </c>
      <c r="BV735" s="3"/>
      <c r="BW735" s="3"/>
      <c r="BX735" s="3"/>
      <c r="BY735" s="3"/>
      <c r="BZ735" s="3"/>
      <c r="CA735" s="3"/>
      <c r="CB735" s="3"/>
      <c r="CC735" s="3"/>
      <c r="CE735" s="3"/>
      <c r="CF735" s="3"/>
      <c r="CG735" s="1464">
        <f t="shared" si="38"/>
        <v>1</v>
      </c>
      <c r="CH735" s="1465"/>
      <c r="CI735" s="1470">
        <f t="shared" si="39"/>
        <v>2</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2</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f t="shared" si="34"/>
        <v>2508</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3" customHeight="1">
      <c r="B736" s="1337" t="s">
        <v>323</v>
      </c>
      <c r="C736" s="1338"/>
      <c r="D736" s="1338"/>
      <c r="E736" s="1338"/>
      <c r="F736" s="1339"/>
      <c r="G736" s="1360">
        <v>2</v>
      </c>
      <c r="H736" s="1351"/>
      <c r="I736" s="1351"/>
      <c r="J736" s="1352"/>
      <c r="K736" s="1343">
        <v>1080</v>
      </c>
      <c r="L736" s="1344"/>
      <c r="M736" s="1344"/>
      <c r="N736" s="1345"/>
      <c r="O736" s="1340">
        <v>2060</v>
      </c>
      <c r="P736" s="1341"/>
      <c r="Q736" s="1341"/>
      <c r="R736" s="1341"/>
      <c r="S736" s="1342"/>
      <c r="T736" s="1340">
        <v>50</v>
      </c>
      <c r="U736" s="1341"/>
      <c r="V736" s="1341"/>
      <c r="W736" s="1342"/>
      <c r="X736" s="1353">
        <f t="shared" si="9"/>
        <v>2110</v>
      </c>
      <c r="Y736" s="1354"/>
      <c r="Z736" s="1354"/>
      <c r="AA736" s="1354"/>
      <c r="AB736" s="1355"/>
      <c r="AC736" s="1361">
        <v>0.6</v>
      </c>
      <c r="AD736" s="1362"/>
      <c r="AE736" s="1362"/>
      <c r="AF736" s="1362"/>
      <c r="AG736" s="1363"/>
      <c r="AH736" s="1356">
        <f t="shared" si="37"/>
        <v>0.60011376564277585</v>
      </c>
      <c r="AI736" s="1357"/>
      <c r="AJ736" s="1358"/>
      <c r="AK736" s="1337" t="s">
        <v>591</v>
      </c>
      <c r="AL736" s="1338"/>
      <c r="AM736" s="1338"/>
      <c r="AN736" s="1338"/>
      <c r="AO736" s="1339"/>
      <c r="AP736" s="3"/>
      <c r="AQ736" s="3"/>
      <c r="AR736" s="3"/>
      <c r="AS736" s="3"/>
      <c r="AY736" s="1085"/>
      <c r="AZ736" s="118">
        <f t="shared" si="10"/>
        <v>3516</v>
      </c>
      <c r="BA736" s="3"/>
      <c r="BB736" s="3"/>
      <c r="BC736" s="3"/>
      <c r="BD736" s="3"/>
      <c r="BE736" s="204"/>
      <c r="BF736" s="294">
        <f t="shared" si="11"/>
        <v>2</v>
      </c>
      <c r="BG736" s="297">
        <f t="shared" si="12"/>
        <v>1.5625E-2</v>
      </c>
      <c r="BH736" s="298">
        <f t="shared" si="13"/>
        <v>9.3749999999999997E-3</v>
      </c>
      <c r="BI736" s="3"/>
      <c r="BJ736" s="3"/>
      <c r="BK736" s="3"/>
      <c r="BL736" s="3"/>
      <c r="BM736" s="3"/>
      <c r="BN736" s="3"/>
      <c r="BS736" s="294">
        <f t="shared" si="14"/>
        <v>2</v>
      </c>
      <c r="BT736" s="297">
        <f t="shared" si="15"/>
        <v>1.5625E-2</v>
      </c>
      <c r="BU736" s="298">
        <f t="shared" si="16"/>
        <v>9.3767775881683727E-3</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2</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f t="shared" si="31"/>
        <v>2060</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3" customHeight="1">
      <c r="B737" s="1337" t="s">
        <v>324</v>
      </c>
      <c r="C737" s="1338"/>
      <c r="D737" s="1338"/>
      <c r="E737" s="1338"/>
      <c r="F737" s="1339"/>
      <c r="G737" s="1360">
        <v>15</v>
      </c>
      <c r="H737" s="1351"/>
      <c r="I737" s="1351"/>
      <c r="J737" s="1352"/>
      <c r="K737" s="1343">
        <v>594</v>
      </c>
      <c r="L737" s="1344"/>
      <c r="M737" s="1344"/>
      <c r="N737" s="1345"/>
      <c r="O737" s="1340">
        <v>2202</v>
      </c>
      <c r="P737" s="1341"/>
      <c r="Q737" s="1341"/>
      <c r="R737" s="1341"/>
      <c r="S737" s="1342"/>
      <c r="T737" s="1340">
        <v>59</v>
      </c>
      <c r="U737" s="1341"/>
      <c r="V737" s="1341"/>
      <c r="W737" s="1342"/>
      <c r="X737" s="1353">
        <f t="shared" si="9"/>
        <v>2261</v>
      </c>
      <c r="Y737" s="1354"/>
      <c r="Z737" s="1354"/>
      <c r="AA737" s="1354"/>
      <c r="AB737" s="1355"/>
      <c r="AC737" s="1361">
        <v>0.6</v>
      </c>
      <c r="AD737" s="1362"/>
      <c r="AE737" s="1362"/>
      <c r="AF737" s="1362"/>
      <c r="AG737" s="1363"/>
      <c r="AH737" s="1356">
        <f t="shared" si="37"/>
        <v>0.60005307855626322</v>
      </c>
      <c r="AI737" s="1357"/>
      <c r="AJ737" s="1358"/>
      <c r="AK737" s="1337" t="s">
        <v>591</v>
      </c>
      <c r="AL737" s="1338"/>
      <c r="AM737" s="1338"/>
      <c r="AN737" s="1338"/>
      <c r="AO737" s="1339"/>
      <c r="AP737" s="3"/>
      <c r="AQ737" s="3"/>
      <c r="AR737" s="3"/>
      <c r="AS737" s="3"/>
      <c r="AY737" s="1085"/>
      <c r="AZ737" s="118">
        <f t="shared" si="10"/>
        <v>3768</v>
      </c>
      <c r="BA737" s="3"/>
      <c r="BB737" s="3"/>
      <c r="BC737" s="3"/>
      <c r="BD737" s="3"/>
      <c r="BE737" s="204"/>
      <c r="BF737" s="294">
        <f t="shared" si="11"/>
        <v>15</v>
      </c>
      <c r="BG737" s="297">
        <f t="shared" si="12"/>
        <v>0.1171875</v>
      </c>
      <c r="BH737" s="298">
        <f t="shared" si="13"/>
        <v>7.03125E-2</v>
      </c>
      <c r="BI737" s="3"/>
      <c r="BJ737" s="3"/>
      <c r="BK737" s="3"/>
      <c r="BL737" s="3"/>
      <c r="BM737" s="3"/>
      <c r="BN737" s="3"/>
      <c r="BS737" s="294">
        <f t="shared" si="14"/>
        <v>15</v>
      </c>
      <c r="BT737" s="297">
        <f t="shared" si="15"/>
        <v>0.1171875</v>
      </c>
      <c r="BU737" s="298">
        <f t="shared" si="16"/>
        <v>7.03187201433121E-2</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15</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f t="shared" si="32"/>
        <v>2202</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3" customHeight="1">
      <c r="B738" s="1337" t="s">
        <v>163</v>
      </c>
      <c r="C738" s="1338"/>
      <c r="D738" s="1338"/>
      <c r="E738" s="1338"/>
      <c r="F738" s="1339"/>
      <c r="G738" s="1350">
        <v>4</v>
      </c>
      <c r="H738" s="1351"/>
      <c r="I738" s="1351"/>
      <c r="J738" s="1352"/>
      <c r="K738" s="1343">
        <v>864</v>
      </c>
      <c r="L738" s="1344"/>
      <c r="M738" s="1344"/>
      <c r="N738" s="1345"/>
      <c r="O738" s="1340">
        <v>2633</v>
      </c>
      <c r="P738" s="1341"/>
      <c r="Q738" s="1341"/>
      <c r="R738" s="1341"/>
      <c r="S738" s="1342"/>
      <c r="T738" s="1340">
        <v>80</v>
      </c>
      <c r="U738" s="1341"/>
      <c r="V738" s="1341"/>
      <c r="W738" s="1342"/>
      <c r="X738" s="1353">
        <f t="shared" si="9"/>
        <v>2713</v>
      </c>
      <c r="Y738" s="1354"/>
      <c r="Z738" s="1354"/>
      <c r="AA738" s="1354"/>
      <c r="AB738" s="1355"/>
      <c r="AC738" s="1361">
        <v>0.6</v>
      </c>
      <c r="AD738" s="1362"/>
      <c r="AE738" s="1362"/>
      <c r="AF738" s="1362"/>
      <c r="AG738" s="1363"/>
      <c r="AH738" s="1356">
        <f t="shared" si="37"/>
        <v>0.59995577178239712</v>
      </c>
      <c r="AI738" s="1357"/>
      <c r="AJ738" s="1358"/>
      <c r="AK738" s="1337" t="s">
        <v>591</v>
      </c>
      <c r="AL738" s="1338"/>
      <c r="AM738" s="1338"/>
      <c r="AN738" s="1338"/>
      <c r="AO738" s="1339"/>
      <c r="AP738" s="3"/>
      <c r="AQ738" s="3"/>
      <c r="AR738" s="3"/>
      <c r="AS738" s="3"/>
      <c r="AY738" s="1085"/>
      <c r="AZ738" s="118">
        <f t="shared" si="10"/>
        <v>4522</v>
      </c>
      <c r="BA738" s="3"/>
      <c r="BE738" s="204"/>
      <c r="BF738" s="294">
        <f t="shared" si="11"/>
        <v>4</v>
      </c>
      <c r="BG738" s="297">
        <f t="shared" si="12"/>
        <v>3.125E-2</v>
      </c>
      <c r="BH738" s="298">
        <f t="shared" si="13"/>
        <v>1.8749999999999999E-2</v>
      </c>
      <c r="BK738" s="3"/>
      <c r="BL738" s="3"/>
      <c r="BM738" s="3"/>
      <c r="BN738" s="3"/>
      <c r="BS738" s="294">
        <f t="shared" si="14"/>
        <v>4</v>
      </c>
      <c r="BT738" s="297">
        <f t="shared" si="15"/>
        <v>3.125E-2</v>
      </c>
      <c r="BU738" s="298">
        <f t="shared" si="16"/>
        <v>1.874861786819991E-2</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4</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f t="shared" si="33"/>
        <v>2633</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3" customHeight="1">
      <c r="B739" s="1337" t="s">
        <v>164</v>
      </c>
      <c r="C739" s="1338"/>
      <c r="D739" s="1338"/>
      <c r="E739" s="1338"/>
      <c r="F739" s="1339"/>
      <c r="G739" s="1350">
        <v>4</v>
      </c>
      <c r="H739" s="1351"/>
      <c r="I739" s="1351"/>
      <c r="J739" s="1352"/>
      <c r="K739" s="1343">
        <v>1080</v>
      </c>
      <c r="L739" s="1344"/>
      <c r="M739" s="1344"/>
      <c r="N739" s="1345"/>
      <c r="O739" s="1340">
        <v>3030</v>
      </c>
      <c r="P739" s="1341"/>
      <c r="Q739" s="1341"/>
      <c r="R739" s="1341"/>
      <c r="S739" s="1342"/>
      <c r="T739" s="1340">
        <v>103</v>
      </c>
      <c r="U739" s="1341"/>
      <c r="V739" s="1341"/>
      <c r="W739" s="1342"/>
      <c r="X739" s="1353">
        <f t="shared" si="9"/>
        <v>3133</v>
      </c>
      <c r="Y739" s="1354"/>
      <c r="Z739" s="1354"/>
      <c r="AA739" s="1354"/>
      <c r="AB739" s="1355"/>
      <c r="AC739" s="1361">
        <v>0.6</v>
      </c>
      <c r="AD739" s="1362"/>
      <c r="AE739" s="1362"/>
      <c r="AF739" s="1362"/>
      <c r="AG739" s="1363"/>
      <c r="AH739" s="1356">
        <f t="shared" si="37"/>
        <v>0.59996170049789355</v>
      </c>
      <c r="AI739" s="1357"/>
      <c r="AJ739" s="1358"/>
      <c r="AK739" s="1337" t="s">
        <v>591</v>
      </c>
      <c r="AL739" s="1338"/>
      <c r="AM739" s="1338"/>
      <c r="AN739" s="1338"/>
      <c r="AO739" s="1339"/>
      <c r="AP739" s="3"/>
      <c r="AQ739" s="3"/>
      <c r="AR739" s="3"/>
      <c r="AS739" s="3"/>
      <c r="AY739" s="1085"/>
      <c r="AZ739" s="118">
        <f t="shared" si="10"/>
        <v>5222</v>
      </c>
      <c r="BA739" s="3"/>
      <c r="BE739" s="204"/>
      <c r="BF739" s="294">
        <f t="shared" si="11"/>
        <v>4</v>
      </c>
      <c r="BG739" s="297">
        <f t="shared" si="12"/>
        <v>3.125E-2</v>
      </c>
      <c r="BH739" s="298">
        <f t="shared" si="13"/>
        <v>1.8749999999999999E-2</v>
      </c>
      <c r="BK739" s="3"/>
      <c r="BL739" s="3"/>
      <c r="BM739" s="3"/>
      <c r="BN739" s="3"/>
      <c r="BS739" s="294">
        <f t="shared" si="14"/>
        <v>4</v>
      </c>
      <c r="BT739" s="297">
        <f t="shared" si="15"/>
        <v>3.125E-2</v>
      </c>
      <c r="BU739" s="298">
        <f t="shared" si="16"/>
        <v>1.8748803140559173E-2</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4</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f t="shared" si="34"/>
        <v>3030</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3" customHeight="1">
      <c r="B740" s="1337"/>
      <c r="C740" s="1338"/>
      <c r="D740" s="1338"/>
      <c r="E740" s="1338"/>
      <c r="F740" s="1339"/>
      <c r="G740" s="1360"/>
      <c r="H740" s="1351"/>
      <c r="I740" s="1351"/>
      <c r="J740" s="1352"/>
      <c r="K740" s="1343"/>
      <c r="L740" s="1344"/>
      <c r="M740" s="1344"/>
      <c r="N740" s="1345"/>
      <c r="O740" s="1340"/>
      <c r="P740" s="1341"/>
      <c r="Q740" s="1341"/>
      <c r="R740" s="1341"/>
      <c r="S740" s="1342"/>
      <c r="T740" s="1340"/>
      <c r="U740" s="1341"/>
      <c r="V740" s="1341"/>
      <c r="W740" s="1342"/>
      <c r="X740" s="1353">
        <f t="shared" si="9"/>
        <v>0</v>
      </c>
      <c r="Y740" s="1354"/>
      <c r="Z740" s="1354"/>
      <c r="AA740" s="1354"/>
      <c r="AB740" s="1355"/>
      <c r="AC740" s="1361"/>
      <c r="AD740" s="1362"/>
      <c r="AE740" s="1362"/>
      <c r="AF740" s="1362"/>
      <c r="AG740" s="1363"/>
      <c r="AH740" s="1356" t="str">
        <f t="shared" si="37"/>
        <v/>
      </c>
      <c r="AI740" s="1357"/>
      <c r="AJ740" s="1358"/>
      <c r="AK740" s="1337" t="s">
        <v>591</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3" customHeight="1">
      <c r="B741" s="1337"/>
      <c r="C741" s="1338"/>
      <c r="D741" s="1338"/>
      <c r="E741" s="1338"/>
      <c r="F741" s="1339"/>
      <c r="G741" s="1360"/>
      <c r="H741" s="1351"/>
      <c r="I741" s="1351"/>
      <c r="J741" s="1352"/>
      <c r="K741" s="1343"/>
      <c r="L741" s="1344"/>
      <c r="M741" s="1344"/>
      <c r="N741" s="1345"/>
      <c r="O741" s="1340"/>
      <c r="P741" s="1341"/>
      <c r="Q741" s="1341"/>
      <c r="R741" s="1341"/>
      <c r="S741" s="1342"/>
      <c r="T741" s="1340"/>
      <c r="U741" s="1341"/>
      <c r="V741" s="1341"/>
      <c r="W741" s="1342"/>
      <c r="X741" s="1353">
        <f t="shared" si="9"/>
        <v>0</v>
      </c>
      <c r="Y741" s="1354"/>
      <c r="Z741" s="1354"/>
      <c r="AA741" s="1354"/>
      <c r="AB741" s="1355"/>
      <c r="AC741" s="1361"/>
      <c r="AD741" s="1362"/>
      <c r="AE741" s="1362"/>
      <c r="AF741" s="1362"/>
      <c r="AG741" s="1363"/>
      <c r="AH741" s="1356" t="str">
        <f t="shared" si="37"/>
        <v/>
      </c>
      <c r="AI741" s="1357"/>
      <c r="AJ741" s="1358"/>
      <c r="AK741" s="1337" t="s">
        <v>591</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3" customHeight="1">
      <c r="B742" s="1337"/>
      <c r="C742" s="1338"/>
      <c r="D742" s="1338"/>
      <c r="E742" s="1338"/>
      <c r="F742" s="1339"/>
      <c r="G742" s="1360"/>
      <c r="H742" s="1351"/>
      <c r="I742" s="1351"/>
      <c r="J742" s="1352"/>
      <c r="K742" s="1343"/>
      <c r="L742" s="1344"/>
      <c r="M742" s="1344"/>
      <c r="N742" s="1345"/>
      <c r="O742" s="1340"/>
      <c r="P742" s="1341"/>
      <c r="Q742" s="1341"/>
      <c r="R742" s="1341"/>
      <c r="S742" s="1342"/>
      <c r="T742" s="1340"/>
      <c r="U742" s="1341"/>
      <c r="V742" s="1341"/>
      <c r="W742" s="1342"/>
      <c r="X742" s="1353">
        <f t="shared" ref="X742:X751" si="40">O742+T742</f>
        <v>0</v>
      </c>
      <c r="Y742" s="1354"/>
      <c r="Z742" s="1354"/>
      <c r="AA742" s="1354"/>
      <c r="AB742" s="1355"/>
      <c r="AC742" s="1361"/>
      <c r="AD742" s="1362"/>
      <c r="AE742" s="1362"/>
      <c r="AF742" s="1362"/>
      <c r="AG742" s="1363"/>
      <c r="AH742" s="1356" t="str">
        <f t="shared" si="37"/>
        <v/>
      </c>
      <c r="AI742" s="1357"/>
      <c r="AJ742" s="1358"/>
      <c r="AK742" s="1337" t="s">
        <v>591</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3" customHeight="1">
      <c r="A743"/>
      <c r="B743" s="1337"/>
      <c r="C743" s="1338"/>
      <c r="D743" s="1338"/>
      <c r="E743" s="1338"/>
      <c r="F743" s="1339"/>
      <c r="G743" s="1360"/>
      <c r="H743" s="1351"/>
      <c r="I743" s="1351"/>
      <c r="J743" s="1352"/>
      <c r="K743" s="1343"/>
      <c r="L743" s="1344"/>
      <c r="M743" s="1344"/>
      <c r="N743" s="1345"/>
      <c r="O743" s="1340"/>
      <c r="P743" s="1341"/>
      <c r="Q743" s="1341"/>
      <c r="R743" s="1341"/>
      <c r="S743" s="1342"/>
      <c r="T743" s="1340"/>
      <c r="U743" s="1341"/>
      <c r="V743" s="1341"/>
      <c r="W743" s="1342"/>
      <c r="X743" s="1353">
        <f t="shared" si="40"/>
        <v>0</v>
      </c>
      <c r="Y743" s="1354"/>
      <c r="Z743" s="1354"/>
      <c r="AA743" s="1354"/>
      <c r="AB743" s="1355"/>
      <c r="AC743" s="1361"/>
      <c r="AD743" s="1362"/>
      <c r="AE743" s="1362"/>
      <c r="AF743" s="1362"/>
      <c r="AG743" s="1363"/>
      <c r="AH743" s="1356" t="str">
        <f t="shared" si="37"/>
        <v/>
      </c>
      <c r="AI743" s="1357"/>
      <c r="AJ743" s="1358"/>
      <c r="AK743" s="1337" t="s">
        <v>591</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3" customHeight="1">
      <c r="B744" s="1337"/>
      <c r="C744" s="1338"/>
      <c r="D744" s="1338"/>
      <c r="E744" s="1338"/>
      <c r="F744" s="1339"/>
      <c r="G744" s="1360"/>
      <c r="H744" s="1351"/>
      <c r="I744" s="1351"/>
      <c r="J744" s="1352"/>
      <c r="K744" s="1343"/>
      <c r="L744" s="1344"/>
      <c r="M744" s="1344"/>
      <c r="N744" s="1345"/>
      <c r="O744" s="1340"/>
      <c r="P744" s="1341"/>
      <c r="Q744" s="1341"/>
      <c r="R744" s="1341"/>
      <c r="S744" s="1342"/>
      <c r="T744" s="1340"/>
      <c r="U744" s="1341"/>
      <c r="V744" s="1341"/>
      <c r="W744" s="1342"/>
      <c r="X744" s="1353">
        <f t="shared" si="40"/>
        <v>0</v>
      </c>
      <c r="Y744" s="1354"/>
      <c r="Z744" s="1354"/>
      <c r="AA744" s="1354"/>
      <c r="AB744" s="1355"/>
      <c r="AC744" s="1361"/>
      <c r="AD744" s="1362"/>
      <c r="AE744" s="1362"/>
      <c r="AF744" s="1362"/>
      <c r="AG744" s="1363"/>
      <c r="AH744" s="1356" t="str">
        <f t="shared" si="37"/>
        <v/>
      </c>
      <c r="AI744" s="1357"/>
      <c r="AJ744" s="1358"/>
      <c r="AK744" s="1337" t="s">
        <v>591</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3" customHeight="1">
      <c r="B745" s="1337"/>
      <c r="C745" s="1338"/>
      <c r="D745" s="1338"/>
      <c r="E745" s="1338"/>
      <c r="F745" s="1339"/>
      <c r="G745" s="1360"/>
      <c r="H745" s="1351"/>
      <c r="I745" s="1351"/>
      <c r="J745" s="1352"/>
      <c r="K745" s="1343"/>
      <c r="L745" s="1344"/>
      <c r="M745" s="1344"/>
      <c r="N745" s="1345"/>
      <c r="O745" s="1340"/>
      <c r="P745" s="1341"/>
      <c r="Q745" s="1341"/>
      <c r="R745" s="1341"/>
      <c r="S745" s="1342"/>
      <c r="T745" s="1340"/>
      <c r="U745" s="1341"/>
      <c r="V745" s="1341"/>
      <c r="W745" s="1342"/>
      <c r="X745" s="1353">
        <f t="shared" si="40"/>
        <v>0</v>
      </c>
      <c r="Y745" s="1354"/>
      <c r="Z745" s="1354"/>
      <c r="AA745" s="1354"/>
      <c r="AB745" s="1355"/>
      <c r="AC745" s="1361"/>
      <c r="AD745" s="1362"/>
      <c r="AE745" s="1362"/>
      <c r="AF745" s="1362"/>
      <c r="AG745" s="1363"/>
      <c r="AH745" s="1356" t="str">
        <f t="shared" si="37"/>
        <v/>
      </c>
      <c r="AI745" s="1357"/>
      <c r="AJ745" s="1358"/>
      <c r="AK745" s="1337" t="s">
        <v>591</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3" customHeight="1">
      <c r="B746" s="1337"/>
      <c r="C746" s="1338"/>
      <c r="D746" s="1338"/>
      <c r="E746" s="1338"/>
      <c r="F746" s="1339"/>
      <c r="G746" s="1360"/>
      <c r="H746" s="1351"/>
      <c r="I746" s="1351"/>
      <c r="J746" s="1352"/>
      <c r="K746" s="1343"/>
      <c r="L746" s="1344"/>
      <c r="M746" s="1344"/>
      <c r="N746" s="1345"/>
      <c r="O746" s="1340"/>
      <c r="P746" s="1341"/>
      <c r="Q746" s="1341"/>
      <c r="R746" s="1341"/>
      <c r="S746" s="1342"/>
      <c r="T746" s="1340"/>
      <c r="U746" s="1341"/>
      <c r="V746" s="1341"/>
      <c r="W746" s="1342"/>
      <c r="X746" s="1353">
        <f t="shared" si="40"/>
        <v>0</v>
      </c>
      <c r="Y746" s="1354"/>
      <c r="Z746" s="1354"/>
      <c r="AA746" s="1354"/>
      <c r="AB746" s="1355"/>
      <c r="AC746" s="1361"/>
      <c r="AD746" s="1362"/>
      <c r="AE746" s="1362"/>
      <c r="AF746" s="1362"/>
      <c r="AG746" s="1363"/>
      <c r="AH746" s="1356" t="str">
        <f t="shared" si="37"/>
        <v/>
      </c>
      <c r="AI746" s="1357"/>
      <c r="AJ746" s="1358"/>
      <c r="AK746" s="1337" t="s">
        <v>591</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3" customHeight="1">
      <c r="B747" s="1337"/>
      <c r="C747" s="1338"/>
      <c r="D747" s="1338"/>
      <c r="E747" s="1338"/>
      <c r="F747" s="1339"/>
      <c r="G747" s="1360"/>
      <c r="H747" s="1351"/>
      <c r="I747" s="1351"/>
      <c r="J747" s="1352"/>
      <c r="K747" s="1343"/>
      <c r="L747" s="1344"/>
      <c r="M747" s="1344"/>
      <c r="N747" s="1345"/>
      <c r="O747" s="1340"/>
      <c r="P747" s="1341"/>
      <c r="Q747" s="1341"/>
      <c r="R747" s="1341"/>
      <c r="S747" s="1342"/>
      <c r="T747" s="1340"/>
      <c r="U747" s="1341"/>
      <c r="V747" s="1341"/>
      <c r="W747" s="1342"/>
      <c r="X747" s="1353">
        <f t="shared" si="40"/>
        <v>0</v>
      </c>
      <c r="Y747" s="1354"/>
      <c r="Z747" s="1354"/>
      <c r="AA747" s="1354"/>
      <c r="AB747" s="1355"/>
      <c r="AC747" s="1361"/>
      <c r="AD747" s="1362"/>
      <c r="AE747" s="1362"/>
      <c r="AF747" s="1362"/>
      <c r="AG747" s="1363"/>
      <c r="AH747" s="1356" t="str">
        <f t="shared" si="37"/>
        <v/>
      </c>
      <c r="AI747" s="1357"/>
      <c r="AJ747" s="1358"/>
      <c r="AK747" s="1337" t="s">
        <v>591</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3" customHeight="1">
      <c r="A748"/>
      <c r="B748" s="1337"/>
      <c r="C748" s="1338"/>
      <c r="D748" s="1338"/>
      <c r="E748" s="1338"/>
      <c r="F748" s="1339"/>
      <c r="G748" s="1360"/>
      <c r="H748" s="1351"/>
      <c r="I748" s="1351"/>
      <c r="J748" s="1352"/>
      <c r="K748" s="1343"/>
      <c r="L748" s="1344"/>
      <c r="M748" s="1344"/>
      <c r="N748" s="1345"/>
      <c r="O748" s="1340"/>
      <c r="P748" s="1341"/>
      <c r="Q748" s="1341"/>
      <c r="R748" s="1341"/>
      <c r="S748" s="1342"/>
      <c r="T748" s="1340"/>
      <c r="U748" s="1341"/>
      <c r="V748" s="1341"/>
      <c r="W748" s="1342"/>
      <c r="X748" s="1353">
        <f t="shared" si="40"/>
        <v>0</v>
      </c>
      <c r="Y748" s="1354"/>
      <c r="Z748" s="1354"/>
      <c r="AA748" s="1354"/>
      <c r="AB748" s="1355"/>
      <c r="AC748" s="1361"/>
      <c r="AD748" s="1362"/>
      <c r="AE748" s="1362"/>
      <c r="AF748" s="1362"/>
      <c r="AG748" s="1363"/>
      <c r="AH748" s="1356" t="str">
        <f t="shared" si="37"/>
        <v/>
      </c>
      <c r="AI748" s="1357"/>
      <c r="AJ748" s="1358"/>
      <c r="AK748" s="1337" t="s">
        <v>591</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3" customHeight="1">
      <c r="A749"/>
      <c r="B749" s="1337"/>
      <c r="C749" s="1338"/>
      <c r="D749" s="1338"/>
      <c r="E749" s="1338"/>
      <c r="F749" s="1339"/>
      <c r="G749" s="1360"/>
      <c r="H749" s="1351"/>
      <c r="I749" s="1351"/>
      <c r="J749" s="1352"/>
      <c r="K749" s="1343"/>
      <c r="L749" s="1344"/>
      <c r="M749" s="1344"/>
      <c r="N749" s="1345"/>
      <c r="O749" s="1340"/>
      <c r="P749" s="1341"/>
      <c r="Q749" s="1341"/>
      <c r="R749" s="1341"/>
      <c r="S749" s="1342"/>
      <c r="T749" s="1340"/>
      <c r="U749" s="1341"/>
      <c r="V749" s="1341"/>
      <c r="W749" s="1342"/>
      <c r="X749" s="1353">
        <f t="shared" si="40"/>
        <v>0</v>
      </c>
      <c r="Y749" s="1354"/>
      <c r="Z749" s="1354"/>
      <c r="AA749" s="1354"/>
      <c r="AB749" s="1355"/>
      <c r="AC749" s="1361"/>
      <c r="AD749" s="1362"/>
      <c r="AE749" s="1362"/>
      <c r="AF749" s="1362"/>
      <c r="AG749" s="1363"/>
      <c r="AH749" s="1356" t="str">
        <f t="shared" si="37"/>
        <v/>
      </c>
      <c r="AI749" s="1357"/>
      <c r="AJ749" s="1358"/>
      <c r="AK749" s="1337" t="s">
        <v>591</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3" customHeight="1">
      <c r="A750"/>
      <c r="B750" s="1337"/>
      <c r="C750" s="1338"/>
      <c r="D750" s="1338"/>
      <c r="E750" s="1338"/>
      <c r="F750" s="1339"/>
      <c r="G750" s="1360"/>
      <c r="H750" s="1351"/>
      <c r="I750" s="1351"/>
      <c r="J750" s="1352"/>
      <c r="K750" s="1343"/>
      <c r="L750" s="1344"/>
      <c r="M750" s="1344"/>
      <c r="N750" s="1345"/>
      <c r="O750" s="1340"/>
      <c r="P750" s="1341"/>
      <c r="Q750" s="1341"/>
      <c r="R750" s="1341"/>
      <c r="S750" s="1342"/>
      <c r="T750" s="1340"/>
      <c r="U750" s="1341"/>
      <c r="V750" s="1341"/>
      <c r="W750" s="1342"/>
      <c r="X750" s="1353">
        <f t="shared" si="40"/>
        <v>0</v>
      </c>
      <c r="Y750" s="1354"/>
      <c r="Z750" s="1354"/>
      <c r="AA750" s="1354"/>
      <c r="AB750" s="1355"/>
      <c r="AC750" s="1361"/>
      <c r="AD750" s="1362"/>
      <c r="AE750" s="1362"/>
      <c r="AF750" s="1362"/>
      <c r="AG750" s="1363"/>
      <c r="AH750" s="1356" t="str">
        <f t="shared" si="37"/>
        <v/>
      </c>
      <c r="AI750" s="1357"/>
      <c r="AJ750" s="1358"/>
      <c r="AK750" s="1337" t="s">
        <v>591</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3" customHeight="1">
      <c r="A751"/>
      <c r="B751" s="1337"/>
      <c r="C751" s="1338"/>
      <c r="D751" s="1338"/>
      <c r="E751" s="1338"/>
      <c r="F751" s="1339"/>
      <c r="G751" s="1360"/>
      <c r="H751" s="1351"/>
      <c r="I751" s="1351"/>
      <c r="J751" s="1352"/>
      <c r="K751" s="1343"/>
      <c r="L751" s="1344"/>
      <c r="M751" s="1344"/>
      <c r="N751" s="1345"/>
      <c r="O751" s="1340"/>
      <c r="P751" s="1341"/>
      <c r="Q751" s="1341"/>
      <c r="R751" s="1341"/>
      <c r="S751" s="1342"/>
      <c r="T751" s="1340"/>
      <c r="U751" s="1341"/>
      <c r="V751" s="1341"/>
      <c r="W751" s="1342"/>
      <c r="X751" s="1353">
        <f t="shared" si="40"/>
        <v>0</v>
      </c>
      <c r="Y751" s="1354"/>
      <c r="Z751" s="1354"/>
      <c r="AA751" s="1354"/>
      <c r="AB751" s="1355"/>
      <c r="AC751" s="1361"/>
      <c r="AD751" s="1362"/>
      <c r="AE751" s="1362"/>
      <c r="AF751" s="1362"/>
      <c r="AG751" s="1363"/>
      <c r="AH751" s="1356" t="str">
        <f t="shared" si="37"/>
        <v/>
      </c>
      <c r="AI751" s="1357"/>
      <c r="AJ751" s="1358"/>
      <c r="AK751" s="1337" t="s">
        <v>591</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3" customHeight="1">
      <c r="A752"/>
      <c r="B752" s="1337"/>
      <c r="C752" s="1338"/>
      <c r="D752" s="1338"/>
      <c r="E752" s="1338"/>
      <c r="F752" s="1339"/>
      <c r="G752" s="136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1"/>
      <c r="AD752" s="1362"/>
      <c r="AE752" s="1362"/>
      <c r="AF752" s="1362"/>
      <c r="AG752" s="1363"/>
      <c r="AH752" s="1356" t="str">
        <f t="shared" si="37"/>
        <v/>
      </c>
      <c r="AI752" s="1357"/>
      <c r="AJ752" s="1358"/>
      <c r="AK752" s="1337" t="s">
        <v>591</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3" customHeight="1">
      <c r="A753"/>
      <c r="B753" s="1450" t="s">
        <v>125</v>
      </c>
      <c r="C753" s="1451"/>
      <c r="D753" s="1451"/>
      <c r="E753" s="1451"/>
      <c r="F753" s="1452"/>
      <c r="G753" s="1622">
        <f>SUM(G718:G752)</f>
        <v>128</v>
      </c>
      <c r="H753" s="1623"/>
      <c r="I753" s="1623"/>
      <c r="J753" s="1624"/>
      <c r="K753" s="902" t="s">
        <v>124</v>
      </c>
      <c r="L753" s="5"/>
      <c r="M753" s="5"/>
      <c r="N753" s="46"/>
      <c r="O753" s="1353">
        <f>SUMPRODUCT(G718:G752,O718:O752)</f>
        <v>209581</v>
      </c>
      <c r="P753" s="1354"/>
      <c r="Q753" s="1354"/>
      <c r="R753" s="1354"/>
      <c r="S753" s="1355"/>
      <c r="T753"/>
      <c r="U753"/>
      <c r="V753"/>
      <c r="W753"/>
      <c r="X753" s="904" t="s">
        <v>900</v>
      </c>
      <c r="Y753" s="903"/>
      <c r="Z753" s="903"/>
      <c r="AA753" s="903"/>
      <c r="AB753" s="905"/>
      <c r="AC753" s="1605">
        <f>BH753</f>
        <v>0.40390624999999997</v>
      </c>
      <c r="AD753" s="1606"/>
      <c r="AE753" s="1606"/>
      <c r="AF753" s="1606"/>
      <c r="AG753" s="1607"/>
      <c r="AH753" s="1605">
        <f>IFERROR(BU753,"")</f>
        <v>0.40392759735726541</v>
      </c>
      <c r="AI753" s="1606"/>
      <c r="AJ753" s="1607"/>
      <c r="AK753"/>
      <c r="AL753"/>
      <c r="AM753"/>
      <c r="AN753"/>
      <c r="AO753"/>
      <c r="AP753" s="205"/>
      <c r="AQ753" s="205"/>
      <c r="AR753" s="205"/>
      <c r="AS753" s="205"/>
      <c r="AT753"/>
      <c r="AU753"/>
      <c r="AV753"/>
      <c r="AW753"/>
      <c r="AX753"/>
      <c r="AY753"/>
      <c r="AZ753" s="34"/>
      <c r="BA753" s="34"/>
      <c r="BB753" s="34"/>
      <c r="BC753" s="34"/>
      <c r="BE753" s="290" t="s">
        <v>899</v>
      </c>
      <c r="BF753" s="299">
        <f>SUM(BF718:BF752)</f>
        <v>128</v>
      </c>
      <c r="BG753" s="300">
        <f>SUM(BG718:BG752)</f>
        <v>1</v>
      </c>
      <c r="BH753" s="300">
        <f>SUM(BH718:BH752)</f>
        <v>0.40390624999999997</v>
      </c>
      <c r="BI753"/>
      <c r="BJ753"/>
      <c r="BK753"/>
      <c r="BL753"/>
      <c r="BO753"/>
      <c r="BP753"/>
      <c r="BQ753"/>
      <c r="BR753"/>
      <c r="BS753" s="859">
        <f>SUM(BS718:BS752)</f>
        <v>128</v>
      </c>
      <c r="BT753" s="300">
        <f>SUM(BT718:BT752)</f>
        <v>1</v>
      </c>
      <c r="BU753" s="300">
        <f>SUM(BU718:BU752)</f>
        <v>0.40392759735726541</v>
      </c>
      <c r="CI753" s="1464">
        <f>SUM(CI718:CJ752)</f>
        <v>39</v>
      </c>
      <c r="CJ753" s="1465"/>
      <c r="CM753" s="1464">
        <f>SUM(CM718:CN752)</f>
        <v>64</v>
      </c>
      <c r="CN753" s="1465"/>
      <c r="CP753" s="1464">
        <f>SUM(CP718:CT752)</f>
        <v>24</v>
      </c>
      <c r="CQ753" s="1466"/>
      <c r="CR753" s="1466"/>
      <c r="CS753" s="1466"/>
      <c r="CT753" s="1465"/>
      <c r="CU753" s="1462">
        <f>SUM(CU718:CY752)</f>
        <v>40</v>
      </c>
      <c r="CV753" s="1462"/>
      <c r="CW753" s="1462"/>
      <c r="CX753" s="1462"/>
      <c r="CY753" s="1462"/>
      <c r="CZ753" s="1462">
        <f>SUM(CZ718:DD752)</f>
        <v>32</v>
      </c>
      <c r="DA753" s="1462"/>
      <c r="DB753" s="1462"/>
      <c r="DC753" s="1462"/>
      <c r="DD753" s="1462"/>
      <c r="DE753" s="1462">
        <f>SUM(DE718:DI752)</f>
        <v>32</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12</v>
      </c>
      <c r="DV753" s="1462"/>
      <c r="DW753" s="1462"/>
      <c r="DX753" s="1462"/>
      <c r="DY753" s="1462"/>
      <c r="DZ753" s="1462">
        <f>SUM(DZ718:ED752)</f>
        <v>12</v>
      </c>
      <c r="EA753" s="1462"/>
      <c r="EB753" s="1462"/>
      <c r="EC753" s="1462"/>
      <c r="ED753" s="1462"/>
      <c r="EE753" s="1462">
        <f>SUM(EE718:EI752)</f>
        <v>20</v>
      </c>
      <c r="EF753" s="1462"/>
      <c r="EG753" s="1462"/>
      <c r="EH753" s="1462"/>
      <c r="EI753" s="1462"/>
      <c r="EJ753" s="1462">
        <f>SUM(EJ718:EN752)</f>
        <v>20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6129</v>
      </c>
      <c r="FA753" s="1462"/>
      <c r="FB753" s="1462"/>
      <c r="FC753" s="1462"/>
      <c r="FD753" s="1462"/>
      <c r="FE753" s="1462">
        <f>SUM(FE718:FI752)</f>
        <v>6546</v>
      </c>
      <c r="FF753" s="1462"/>
      <c r="FG753" s="1462"/>
      <c r="FH753" s="1462"/>
      <c r="FI753" s="1462"/>
      <c r="FJ753" s="1462">
        <f>SUM(FJ718:FN752)</f>
        <v>13007</v>
      </c>
      <c r="FK753" s="1462"/>
      <c r="FL753" s="1462"/>
      <c r="FM753" s="1462"/>
      <c r="FN753" s="1462"/>
      <c r="FO753" s="1462">
        <f>SUM(FO718:FS752)</f>
        <v>14946</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128</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24</v>
      </c>
      <c r="CU755" s="3"/>
      <c r="CV755" s="3"/>
      <c r="CW755" s="3"/>
      <c r="CX755" s="3"/>
      <c r="CY755" s="861">
        <f>CU753*1</f>
        <v>40</v>
      </c>
      <c r="CZ755" s="3"/>
      <c r="DA755" s="3"/>
      <c r="DB755" s="3"/>
      <c r="DC755" s="3"/>
      <c r="DD755" s="861">
        <f>CZ753*2</f>
        <v>64</v>
      </c>
      <c r="DE755" s="3"/>
      <c r="DF755" s="3"/>
      <c r="DG755" s="3"/>
      <c r="DH755" s="3"/>
      <c r="DI755" s="861">
        <f>DE753*3</f>
        <v>96</v>
      </c>
      <c r="DJ755" s="3"/>
      <c r="DK755" s="3"/>
      <c r="DL755" s="3"/>
      <c r="DM755" s="3"/>
      <c r="DN755" s="861">
        <f>DJ753*4</f>
        <v>0</v>
      </c>
      <c r="DO755" s="3"/>
      <c r="DP755" s="3"/>
      <c r="DQ755" s="3"/>
      <c r="DR755" s="3"/>
      <c r="DS755" s="861">
        <f>DO753*5</f>
        <v>0</v>
      </c>
      <c r="DU755" s="861">
        <f>CT755+CY755+DD755+DI755+DN755+DS755</f>
        <v>224</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462">
        <f>DU755</f>
        <v>224</v>
      </c>
      <c r="P756" s="1462"/>
      <c r="Q756" s="1462"/>
      <c r="R756" s="1462"/>
      <c r="S756" s="969"/>
      <c r="T756" s="969"/>
      <c r="U756" s="118" t="s">
        <v>1893</v>
      </c>
      <c r="V756" s="1032"/>
      <c r="W756" s="1032"/>
      <c r="X756" s="1032"/>
      <c r="Y756" s="1033"/>
      <c r="Z756" s="1033"/>
      <c r="AA756" s="1033"/>
      <c r="AB756" s="1033"/>
      <c r="AC756" s="1032"/>
      <c r="AD756" s="1032"/>
      <c r="AE756" s="1032"/>
      <c r="AF756" s="1032"/>
      <c r="AG756" s="1628">
        <v>44</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8" t="str">
        <f>IF(G753&lt;&gt;AG440,"! Total Low-Income Units in the Unit Mix Table above does not match the number of Total Low-Income Units on row #"&amp;TEXT(ROW(D440),"#"),"")</f>
        <v/>
      </c>
      <c r="D757" s="1388"/>
      <c r="E757" s="1388"/>
      <c r="F757" s="1388"/>
      <c r="G757" s="1388"/>
      <c r="H757" s="1388"/>
      <c r="I757" s="1388"/>
      <c r="J757" s="1388"/>
      <c r="K757" s="1388"/>
      <c r="L757" s="1388"/>
      <c r="M757" s="1388"/>
      <c r="N757" s="1388"/>
      <c r="O757" s="1388"/>
      <c r="P757" s="1388"/>
      <c r="Q757" s="1388"/>
      <c r="R757" s="1388"/>
      <c r="S757" s="1388"/>
      <c r="T757" s="1388"/>
      <c r="U757" s="1388"/>
      <c r="V757" s="1388"/>
      <c r="W757" s="1388"/>
      <c r="X757" s="1388"/>
      <c r="Y757" s="1388"/>
      <c r="Z757" s="1388"/>
      <c r="AA757" s="1388"/>
      <c r="AB757" s="1388"/>
      <c r="AC757" s="1388"/>
      <c r="AD757" s="1388"/>
      <c r="AE757" s="1388"/>
      <c r="AF757" s="1388"/>
      <c r="AG757" s="1388"/>
      <c r="AH757" s="1388"/>
      <c r="AI757" s="1388"/>
      <c r="AJ757" s="1388"/>
      <c r="AK757" s="1388"/>
      <c r="AL757" s="1388"/>
      <c r="AM757" s="138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8"/>
      <c r="D758" s="1388"/>
      <c r="E758" s="1388"/>
      <c r="F758" s="1388"/>
      <c r="G758" s="1388"/>
      <c r="H758" s="1388"/>
      <c r="I758" s="1388"/>
      <c r="J758" s="1388"/>
      <c r="K758" s="1388"/>
      <c r="L758" s="1388"/>
      <c r="M758" s="1388"/>
      <c r="N758" s="1388"/>
      <c r="O758" s="1388"/>
      <c r="P758" s="1388"/>
      <c r="Q758" s="1388"/>
      <c r="R758" s="1388"/>
      <c r="S758" s="1388"/>
      <c r="T758" s="1388"/>
      <c r="U758" s="1388"/>
      <c r="V758" s="1388"/>
      <c r="W758" s="1388"/>
      <c r="X758" s="1388"/>
      <c r="Y758" s="1388"/>
      <c r="Z758" s="1388"/>
      <c r="AA758" s="1388"/>
      <c r="AB758" s="1388"/>
      <c r="AC758" s="1388"/>
      <c r="AD758" s="1388"/>
      <c r="AE758" s="1388"/>
      <c r="AF758" s="1388"/>
      <c r="AG758" s="1388"/>
      <c r="AH758" s="1388"/>
      <c r="AI758" s="1388"/>
      <c r="AJ758" s="1388"/>
      <c r="AK758" s="1388"/>
      <c r="AL758" s="1388"/>
      <c r="AM758" s="138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4" t="s">
        <v>388</v>
      </c>
      <c r="K769" s="1365"/>
      <c r="L769" s="1365"/>
      <c r="M769" s="1365"/>
      <c r="N769" s="1366"/>
      <c r="O769" s="1620" t="s">
        <v>284</v>
      </c>
      <c r="P769" s="1620"/>
      <c r="Q769" s="1620"/>
      <c r="R769" s="1620"/>
      <c r="S769" s="1620"/>
      <c r="T769" s="1720" t="s">
        <v>1679</v>
      </c>
      <c r="U769" s="1721"/>
      <c r="V769" s="1721"/>
      <c r="W769" s="1722"/>
      <c r="X769" s="1364" t="s">
        <v>447</v>
      </c>
      <c r="Y769" s="1365"/>
      <c r="Z769" s="1365"/>
      <c r="AA769" s="1365"/>
      <c r="AB769" s="1366"/>
      <c r="AC769" s="1364" t="s">
        <v>285</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7"/>
      <c r="K770" s="1368"/>
      <c r="L770" s="1368"/>
      <c r="M770" s="1368"/>
      <c r="N770" s="1369"/>
      <c r="O770" s="1620"/>
      <c r="P770" s="1620"/>
      <c r="Q770" s="1620"/>
      <c r="R770" s="1620"/>
      <c r="S770" s="1620"/>
      <c r="T770" s="1723"/>
      <c r="U770" s="1724"/>
      <c r="V770" s="1724"/>
      <c r="W770" s="1725"/>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7"/>
      <c r="K771" s="1368"/>
      <c r="L771" s="1368"/>
      <c r="M771" s="1368"/>
      <c r="N771" s="1369"/>
      <c r="O771" s="1620"/>
      <c r="P771" s="1620"/>
      <c r="Q771" s="1620"/>
      <c r="R771" s="1620"/>
      <c r="S771" s="1620"/>
      <c r="T771" s="1723"/>
      <c r="U771" s="1724"/>
      <c r="V771" s="1724"/>
      <c r="W771" s="1725"/>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70"/>
      <c r="K772" s="1371"/>
      <c r="L772" s="1371"/>
      <c r="M772" s="1371"/>
      <c r="N772" s="1372"/>
      <c r="O772" s="1620"/>
      <c r="P772" s="1620"/>
      <c r="Q772" s="1620"/>
      <c r="R772" s="1620"/>
      <c r="S772" s="1620"/>
      <c r="T772" s="1726"/>
      <c r="U772" s="1727"/>
      <c r="V772" s="1727"/>
      <c r="W772" s="1728"/>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t="s">
        <v>163</v>
      </c>
      <c r="K773" s="1338"/>
      <c r="L773" s="1338"/>
      <c r="M773" s="1338"/>
      <c r="N773" s="1339"/>
      <c r="O773" s="1614">
        <v>1</v>
      </c>
      <c r="P773" s="1614"/>
      <c r="Q773" s="1614"/>
      <c r="R773" s="1614"/>
      <c r="S773" s="1614"/>
      <c r="T773" s="1343">
        <v>864</v>
      </c>
      <c r="U773" s="1344"/>
      <c r="V773" s="1344"/>
      <c r="W773" s="1345"/>
      <c r="X773" s="1340">
        <v>0</v>
      </c>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7" t="s">
        <v>164</v>
      </c>
      <c r="K774" s="1338"/>
      <c r="L774" s="1338"/>
      <c r="M774" s="1338"/>
      <c r="N774" s="1339"/>
      <c r="O774" s="1614">
        <v>1</v>
      </c>
      <c r="P774" s="1614"/>
      <c r="Q774" s="1614"/>
      <c r="R774" s="1614"/>
      <c r="S774" s="1614"/>
      <c r="T774" s="1343">
        <v>1080</v>
      </c>
      <c r="U774" s="1344"/>
      <c r="V774" s="1344"/>
      <c r="W774" s="1345"/>
      <c r="X774" s="1340">
        <v>0</v>
      </c>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1</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2</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1</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2</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5</v>
      </c>
      <c r="DV778" s="57" t="s">
        <v>1862</v>
      </c>
    </row>
    <row r="779" spans="1:126" ht="13" customHeight="1">
      <c r="B779" s="56"/>
      <c r="C779" s="56"/>
      <c r="D779" s="56"/>
      <c r="E779" s="56"/>
      <c r="F779" s="56"/>
      <c r="G779" s="6"/>
      <c r="H779" s="6"/>
      <c r="I779" s="6"/>
      <c r="J779" s="1664" t="s">
        <v>669</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4" t="s">
        <v>388</v>
      </c>
      <c r="K783" s="1365"/>
      <c r="L783" s="1365"/>
      <c r="M783" s="1365"/>
      <c r="N783" s="1366"/>
      <c r="O783" s="1620" t="s">
        <v>284</v>
      </c>
      <c r="P783" s="1620"/>
      <c r="Q783" s="1620"/>
      <c r="R783" s="1620"/>
      <c r="S783" s="1620"/>
      <c r="T783" s="1720" t="s">
        <v>1679</v>
      </c>
      <c r="U783" s="1721"/>
      <c r="V783" s="1721"/>
      <c r="W783" s="1722"/>
      <c r="X783" s="1364" t="s">
        <v>447</v>
      </c>
      <c r="Y783" s="1365"/>
      <c r="Z783" s="1365"/>
      <c r="AA783" s="1365"/>
      <c r="AB783" s="1366"/>
      <c r="AC783" s="1364" t="s">
        <v>285</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7"/>
      <c r="K784" s="1368"/>
      <c r="L784" s="1368"/>
      <c r="M784" s="1368"/>
      <c r="N784" s="1369"/>
      <c r="O784" s="1620"/>
      <c r="P784" s="1620"/>
      <c r="Q784" s="1620"/>
      <c r="R784" s="1620"/>
      <c r="S784" s="1620"/>
      <c r="T784" s="1723"/>
      <c r="U784" s="1724"/>
      <c r="V784" s="1724"/>
      <c r="W784" s="1725"/>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7"/>
      <c r="K785" s="1368"/>
      <c r="L785" s="1368"/>
      <c r="M785" s="1368"/>
      <c r="N785" s="1369"/>
      <c r="O785" s="1620"/>
      <c r="P785" s="1620"/>
      <c r="Q785" s="1620"/>
      <c r="R785" s="1620"/>
      <c r="S785" s="1620"/>
      <c r="T785" s="1723"/>
      <c r="U785" s="1724"/>
      <c r="V785" s="1724"/>
      <c r="W785" s="1725"/>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70"/>
      <c r="K786" s="1371"/>
      <c r="L786" s="1371"/>
      <c r="M786" s="1371"/>
      <c r="N786" s="1372"/>
      <c r="O786" s="1620"/>
      <c r="P786" s="1620"/>
      <c r="Q786" s="1620"/>
      <c r="R786" s="1620"/>
      <c r="S786" s="1620"/>
      <c r="T786" s="1726"/>
      <c r="U786" s="1727"/>
      <c r="V786" s="1727"/>
      <c r="W786" s="1728"/>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1">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2">IF(J787="SRO/Studio",O787,0)</f>
        <v>0</v>
      </c>
      <c r="CQ787" s="1460"/>
      <c r="CR787" s="1460"/>
      <c r="CS787" s="1460"/>
      <c r="CT787" s="1461"/>
      <c r="CU787" s="1459">
        <f t="shared" ref="CU787:CU796" si="43">IF(J787="1 Bedroom",O787,0)</f>
        <v>0</v>
      </c>
      <c r="CV787" s="1460"/>
      <c r="CW787" s="1460"/>
      <c r="CX787" s="1460"/>
      <c r="CY787" s="1461"/>
      <c r="CZ787" s="1459">
        <f t="shared" ref="CZ787:CZ796" si="44">IF(J787="2 Bedrooms",O787,0)</f>
        <v>0</v>
      </c>
      <c r="DA787" s="1460"/>
      <c r="DB787" s="1460"/>
      <c r="DC787" s="1460"/>
      <c r="DD787" s="1461"/>
      <c r="DE787" s="1459">
        <f t="shared" ref="DE787:DE796" si="45">IF(J787="3 Bedrooms",O787,0)</f>
        <v>0</v>
      </c>
      <c r="DF787" s="1460"/>
      <c r="DG787" s="1460"/>
      <c r="DH787" s="1460"/>
      <c r="DI787" s="1461"/>
      <c r="DJ787" s="1459">
        <f t="shared" ref="DJ787:DJ796" si="46">IF(J787="4 Bedrooms",O787,0)</f>
        <v>0</v>
      </c>
      <c r="DK787" s="1460"/>
      <c r="DL787" s="1460"/>
      <c r="DM787" s="1460"/>
      <c r="DN787" s="1461"/>
      <c r="DO787" s="1459">
        <f t="shared" ref="DO787:DO796" si="47">IF(J787="5 Bedrooms",O787,0)</f>
        <v>0</v>
      </c>
      <c r="DP787" s="1460"/>
      <c r="DQ787" s="1460"/>
      <c r="DR787" s="1460"/>
      <c r="DS787" s="1461"/>
      <c r="DT787" s="6"/>
      <c r="DU787" s="1459">
        <f t="shared" ref="DU787:DU796" si="48">IF(AND(CP787&gt;=1,AH787&gt;=0.1,AH787&lt;=1),O787,0)</f>
        <v>0</v>
      </c>
      <c r="DV787" s="1460"/>
      <c r="DW787" s="1460"/>
      <c r="DX787" s="1460"/>
      <c r="DY787" s="1461"/>
      <c r="DZ787" s="1459">
        <f t="shared" ref="DZ787:DZ796" si="49">IF(AND(CU787&gt;=1,AH787&gt;=0.1,AH787&lt;=1),O787,0)</f>
        <v>0</v>
      </c>
      <c r="EA787" s="1460"/>
      <c r="EB787" s="1460"/>
      <c r="EC787" s="1460"/>
      <c r="ED787" s="1461"/>
      <c r="EE787" s="1459">
        <f t="shared" ref="EE787:EE796" si="50">IF(AND(CZ787&gt;=1,AH787&gt;=0.1,AH787&lt;=1),O787,0)</f>
        <v>0</v>
      </c>
      <c r="EF787" s="1460"/>
      <c r="EG787" s="1460"/>
      <c r="EH787" s="1460"/>
      <c r="EI787" s="1461"/>
      <c r="EJ787" s="1459">
        <f t="shared" ref="EJ787:EJ796" si="51">IF(AND(DE787&gt;=1,AH787&gt;=0.1,AH787&lt;=1),O787,0)</f>
        <v>0</v>
      </c>
      <c r="EK787" s="1460"/>
      <c r="EL787" s="1460"/>
      <c r="EM787" s="1460"/>
      <c r="EN787" s="1461"/>
      <c r="EO787" s="1459">
        <f t="shared" ref="EO787:EO796" si="52">IF(AND(DJ787&gt;=1,AH787&gt;=0.1,AH787&lt;=1),O787,0)</f>
        <v>0</v>
      </c>
      <c r="EP787" s="1460"/>
      <c r="EQ787" s="1460"/>
      <c r="ER787" s="1460"/>
      <c r="ES787" s="1461"/>
      <c r="ET787" s="1459">
        <f t="shared" ref="ET787:ET796" si="53">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1"/>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2"/>
        <v>0</v>
      </c>
      <c r="CQ788" s="1460"/>
      <c r="CR788" s="1460"/>
      <c r="CS788" s="1460"/>
      <c r="CT788" s="1461"/>
      <c r="CU788" s="1459">
        <f t="shared" si="43"/>
        <v>0</v>
      </c>
      <c r="CV788" s="1460"/>
      <c r="CW788" s="1460"/>
      <c r="CX788" s="1460"/>
      <c r="CY788" s="1461"/>
      <c r="CZ788" s="1459">
        <f t="shared" si="44"/>
        <v>0</v>
      </c>
      <c r="DA788" s="1460"/>
      <c r="DB788" s="1460"/>
      <c r="DC788" s="1460"/>
      <c r="DD788" s="1461"/>
      <c r="DE788" s="1459">
        <f t="shared" si="45"/>
        <v>0</v>
      </c>
      <c r="DF788" s="1460"/>
      <c r="DG788" s="1460"/>
      <c r="DH788" s="1460"/>
      <c r="DI788" s="1461"/>
      <c r="DJ788" s="1459">
        <f t="shared" si="46"/>
        <v>0</v>
      </c>
      <c r="DK788" s="1460"/>
      <c r="DL788" s="1460"/>
      <c r="DM788" s="1460"/>
      <c r="DN788" s="1461"/>
      <c r="DO788" s="1459">
        <f t="shared" si="47"/>
        <v>0</v>
      </c>
      <c r="DP788" s="1460"/>
      <c r="DQ788" s="1460"/>
      <c r="DR788" s="1460"/>
      <c r="DS788" s="1461"/>
      <c r="DT788" s="6"/>
      <c r="DU788" s="1459">
        <f t="shared" si="48"/>
        <v>0</v>
      </c>
      <c r="DV788" s="1460"/>
      <c r="DW788" s="1460"/>
      <c r="DX788" s="1460"/>
      <c r="DY788" s="1461"/>
      <c r="DZ788" s="1459">
        <f t="shared" si="49"/>
        <v>0</v>
      </c>
      <c r="EA788" s="1460"/>
      <c r="EB788" s="1460"/>
      <c r="EC788" s="1460"/>
      <c r="ED788" s="1461"/>
      <c r="EE788" s="1459">
        <f t="shared" si="50"/>
        <v>0</v>
      </c>
      <c r="EF788" s="1460"/>
      <c r="EG788" s="1460"/>
      <c r="EH788" s="1460"/>
      <c r="EI788" s="1461"/>
      <c r="EJ788" s="1459">
        <f t="shared" si="51"/>
        <v>0</v>
      </c>
      <c r="EK788" s="1460"/>
      <c r="EL788" s="1460"/>
      <c r="EM788" s="1460"/>
      <c r="EN788" s="1461"/>
      <c r="EO788" s="1459">
        <f t="shared" si="52"/>
        <v>0</v>
      </c>
      <c r="EP788" s="1460"/>
      <c r="EQ788" s="1460"/>
      <c r="ER788" s="1460"/>
      <c r="ES788" s="1461"/>
      <c r="ET788" s="1459">
        <f t="shared" si="53"/>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1"/>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2"/>
        <v>0</v>
      </c>
      <c r="CQ789" s="1460"/>
      <c r="CR789" s="1460"/>
      <c r="CS789" s="1460"/>
      <c r="CT789" s="1461"/>
      <c r="CU789" s="1459">
        <f t="shared" si="43"/>
        <v>0</v>
      </c>
      <c r="CV789" s="1460"/>
      <c r="CW789" s="1460"/>
      <c r="CX789" s="1460"/>
      <c r="CY789" s="1461"/>
      <c r="CZ789" s="1459">
        <f t="shared" si="44"/>
        <v>0</v>
      </c>
      <c r="DA789" s="1460"/>
      <c r="DB789" s="1460"/>
      <c r="DC789" s="1460"/>
      <c r="DD789" s="1461"/>
      <c r="DE789" s="1459">
        <f t="shared" si="45"/>
        <v>0</v>
      </c>
      <c r="DF789" s="1460"/>
      <c r="DG789" s="1460"/>
      <c r="DH789" s="1460"/>
      <c r="DI789" s="1461"/>
      <c r="DJ789" s="1459">
        <f t="shared" si="46"/>
        <v>0</v>
      </c>
      <c r="DK789" s="1460"/>
      <c r="DL789" s="1460"/>
      <c r="DM789" s="1460"/>
      <c r="DN789" s="1461"/>
      <c r="DO789" s="1459">
        <f t="shared" si="47"/>
        <v>0</v>
      </c>
      <c r="DP789" s="1460"/>
      <c r="DQ789" s="1460"/>
      <c r="DR789" s="1460"/>
      <c r="DS789" s="1461"/>
      <c r="DT789" s="6"/>
      <c r="DU789" s="1459">
        <f t="shared" si="48"/>
        <v>0</v>
      </c>
      <c r="DV789" s="1460"/>
      <c r="DW789" s="1460"/>
      <c r="DX789" s="1460"/>
      <c r="DY789" s="1461"/>
      <c r="DZ789" s="1459">
        <f t="shared" si="49"/>
        <v>0</v>
      </c>
      <c r="EA789" s="1460"/>
      <c r="EB789" s="1460"/>
      <c r="EC789" s="1460"/>
      <c r="ED789" s="1461"/>
      <c r="EE789" s="1459">
        <f t="shared" si="50"/>
        <v>0</v>
      </c>
      <c r="EF789" s="1460"/>
      <c r="EG789" s="1460"/>
      <c r="EH789" s="1460"/>
      <c r="EI789" s="1461"/>
      <c r="EJ789" s="1459">
        <f t="shared" si="51"/>
        <v>0</v>
      </c>
      <c r="EK789" s="1460"/>
      <c r="EL789" s="1460"/>
      <c r="EM789" s="1460"/>
      <c r="EN789" s="1461"/>
      <c r="EO789" s="1459">
        <f t="shared" si="52"/>
        <v>0</v>
      </c>
      <c r="EP789" s="1460"/>
      <c r="EQ789" s="1460"/>
      <c r="ER789" s="1460"/>
      <c r="ES789" s="1461"/>
      <c r="ET789" s="1459">
        <f t="shared" si="53"/>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1"/>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2"/>
        <v>0</v>
      </c>
      <c r="CQ790" s="1460"/>
      <c r="CR790" s="1460"/>
      <c r="CS790" s="1460"/>
      <c r="CT790" s="1461"/>
      <c r="CU790" s="1459">
        <f t="shared" si="43"/>
        <v>0</v>
      </c>
      <c r="CV790" s="1460"/>
      <c r="CW790" s="1460"/>
      <c r="CX790" s="1460"/>
      <c r="CY790" s="1461"/>
      <c r="CZ790" s="1459">
        <f t="shared" si="44"/>
        <v>0</v>
      </c>
      <c r="DA790" s="1460"/>
      <c r="DB790" s="1460"/>
      <c r="DC790" s="1460"/>
      <c r="DD790" s="1461"/>
      <c r="DE790" s="1459">
        <f t="shared" si="45"/>
        <v>0</v>
      </c>
      <c r="DF790" s="1460"/>
      <c r="DG790" s="1460"/>
      <c r="DH790" s="1460"/>
      <c r="DI790" s="1461"/>
      <c r="DJ790" s="1459">
        <f t="shared" si="46"/>
        <v>0</v>
      </c>
      <c r="DK790" s="1460"/>
      <c r="DL790" s="1460"/>
      <c r="DM790" s="1460"/>
      <c r="DN790" s="1461"/>
      <c r="DO790" s="1459">
        <f t="shared" si="47"/>
        <v>0</v>
      </c>
      <c r="DP790" s="1460"/>
      <c r="DQ790" s="1460"/>
      <c r="DR790" s="1460"/>
      <c r="DS790" s="1461"/>
      <c r="DT790" s="6"/>
      <c r="DU790" s="1459">
        <f t="shared" si="48"/>
        <v>0</v>
      </c>
      <c r="DV790" s="1460"/>
      <c r="DW790" s="1460"/>
      <c r="DX790" s="1460"/>
      <c r="DY790" s="1461"/>
      <c r="DZ790" s="1459">
        <f t="shared" si="49"/>
        <v>0</v>
      </c>
      <c r="EA790" s="1460"/>
      <c r="EB790" s="1460"/>
      <c r="EC790" s="1460"/>
      <c r="ED790" s="1461"/>
      <c r="EE790" s="1459">
        <f t="shared" si="50"/>
        <v>0</v>
      </c>
      <c r="EF790" s="1460"/>
      <c r="EG790" s="1460"/>
      <c r="EH790" s="1460"/>
      <c r="EI790" s="1461"/>
      <c r="EJ790" s="1459">
        <f t="shared" si="51"/>
        <v>0</v>
      </c>
      <c r="EK790" s="1460"/>
      <c r="EL790" s="1460"/>
      <c r="EM790" s="1460"/>
      <c r="EN790" s="1461"/>
      <c r="EO790" s="1459">
        <f t="shared" si="52"/>
        <v>0</v>
      </c>
      <c r="EP790" s="1460"/>
      <c r="EQ790" s="1460"/>
      <c r="ER790" s="1460"/>
      <c r="ES790" s="1461"/>
      <c r="ET790" s="1459">
        <f t="shared" si="53"/>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1"/>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2"/>
        <v>0</v>
      </c>
      <c r="CQ791" s="1460"/>
      <c r="CR791" s="1460"/>
      <c r="CS791" s="1460"/>
      <c r="CT791" s="1461"/>
      <c r="CU791" s="1459">
        <f t="shared" si="43"/>
        <v>0</v>
      </c>
      <c r="CV791" s="1460"/>
      <c r="CW791" s="1460"/>
      <c r="CX791" s="1460"/>
      <c r="CY791" s="1461"/>
      <c r="CZ791" s="1459">
        <f t="shared" si="44"/>
        <v>0</v>
      </c>
      <c r="DA791" s="1460"/>
      <c r="DB791" s="1460"/>
      <c r="DC791" s="1460"/>
      <c r="DD791" s="1461"/>
      <c r="DE791" s="1459">
        <f t="shared" si="45"/>
        <v>0</v>
      </c>
      <c r="DF791" s="1460"/>
      <c r="DG791" s="1460"/>
      <c r="DH791" s="1460"/>
      <c r="DI791" s="1461"/>
      <c r="DJ791" s="1459">
        <f t="shared" si="46"/>
        <v>0</v>
      </c>
      <c r="DK791" s="1460"/>
      <c r="DL791" s="1460"/>
      <c r="DM791" s="1460"/>
      <c r="DN791" s="1461"/>
      <c r="DO791" s="1459">
        <f t="shared" si="47"/>
        <v>0</v>
      </c>
      <c r="DP791" s="1460"/>
      <c r="DQ791" s="1460"/>
      <c r="DR791" s="1460"/>
      <c r="DS791" s="1461"/>
      <c r="DT791" s="6"/>
      <c r="DU791" s="1459">
        <f t="shared" si="48"/>
        <v>0</v>
      </c>
      <c r="DV791" s="1460"/>
      <c r="DW791" s="1460"/>
      <c r="DX791" s="1460"/>
      <c r="DY791" s="1461"/>
      <c r="DZ791" s="1459">
        <f t="shared" si="49"/>
        <v>0</v>
      </c>
      <c r="EA791" s="1460"/>
      <c r="EB791" s="1460"/>
      <c r="EC791" s="1460"/>
      <c r="ED791" s="1461"/>
      <c r="EE791" s="1459">
        <f t="shared" si="50"/>
        <v>0</v>
      </c>
      <c r="EF791" s="1460"/>
      <c r="EG791" s="1460"/>
      <c r="EH791" s="1460"/>
      <c r="EI791" s="1461"/>
      <c r="EJ791" s="1459">
        <f t="shared" si="51"/>
        <v>0</v>
      </c>
      <c r="EK791" s="1460"/>
      <c r="EL791" s="1460"/>
      <c r="EM791" s="1460"/>
      <c r="EN791" s="1461"/>
      <c r="EO791" s="1459">
        <f t="shared" si="52"/>
        <v>0</v>
      </c>
      <c r="EP791" s="1460"/>
      <c r="EQ791" s="1460"/>
      <c r="ER791" s="1460"/>
      <c r="ES791" s="1461"/>
      <c r="ET791" s="1459">
        <f t="shared" si="53"/>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1"/>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2"/>
        <v>0</v>
      </c>
      <c r="CQ792" s="1460"/>
      <c r="CR792" s="1460"/>
      <c r="CS792" s="1460"/>
      <c r="CT792" s="1461"/>
      <c r="CU792" s="1459">
        <f t="shared" si="43"/>
        <v>0</v>
      </c>
      <c r="CV792" s="1460"/>
      <c r="CW792" s="1460"/>
      <c r="CX792" s="1460"/>
      <c r="CY792" s="1461"/>
      <c r="CZ792" s="1459">
        <f t="shared" si="44"/>
        <v>0</v>
      </c>
      <c r="DA792" s="1460"/>
      <c r="DB792" s="1460"/>
      <c r="DC792" s="1460"/>
      <c r="DD792" s="1461"/>
      <c r="DE792" s="1459">
        <f t="shared" si="45"/>
        <v>0</v>
      </c>
      <c r="DF792" s="1460"/>
      <c r="DG792" s="1460"/>
      <c r="DH792" s="1460"/>
      <c r="DI792" s="1461"/>
      <c r="DJ792" s="1459">
        <f t="shared" si="46"/>
        <v>0</v>
      </c>
      <c r="DK792" s="1460"/>
      <c r="DL792" s="1460"/>
      <c r="DM792" s="1460"/>
      <c r="DN792" s="1461"/>
      <c r="DO792" s="1459">
        <f t="shared" si="47"/>
        <v>0</v>
      </c>
      <c r="DP792" s="1460"/>
      <c r="DQ792" s="1460"/>
      <c r="DR792" s="1460"/>
      <c r="DS792" s="1461"/>
      <c r="DT792" s="6"/>
      <c r="DU792" s="1459">
        <f t="shared" si="48"/>
        <v>0</v>
      </c>
      <c r="DV792" s="1460"/>
      <c r="DW792" s="1460"/>
      <c r="DX792" s="1460"/>
      <c r="DY792" s="1461"/>
      <c r="DZ792" s="1459">
        <f t="shared" si="49"/>
        <v>0</v>
      </c>
      <c r="EA792" s="1460"/>
      <c r="EB792" s="1460"/>
      <c r="EC792" s="1460"/>
      <c r="ED792" s="1461"/>
      <c r="EE792" s="1459">
        <f t="shared" si="50"/>
        <v>0</v>
      </c>
      <c r="EF792" s="1460"/>
      <c r="EG792" s="1460"/>
      <c r="EH792" s="1460"/>
      <c r="EI792" s="1461"/>
      <c r="EJ792" s="1459">
        <f t="shared" si="51"/>
        <v>0</v>
      </c>
      <c r="EK792" s="1460"/>
      <c r="EL792" s="1460"/>
      <c r="EM792" s="1460"/>
      <c r="EN792" s="1461"/>
      <c r="EO792" s="1459">
        <f t="shared" si="52"/>
        <v>0</v>
      </c>
      <c r="EP792" s="1460"/>
      <c r="EQ792" s="1460"/>
      <c r="ER792" s="1460"/>
      <c r="ES792" s="1461"/>
      <c r="ET792" s="1459">
        <f t="shared" si="53"/>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1"/>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2"/>
        <v>0</v>
      </c>
      <c r="CQ793" s="1460"/>
      <c r="CR793" s="1460"/>
      <c r="CS793" s="1460"/>
      <c r="CT793" s="1461"/>
      <c r="CU793" s="1459">
        <f t="shared" si="43"/>
        <v>0</v>
      </c>
      <c r="CV793" s="1460"/>
      <c r="CW793" s="1460"/>
      <c r="CX793" s="1460"/>
      <c r="CY793" s="1461"/>
      <c r="CZ793" s="1459">
        <f t="shared" si="44"/>
        <v>0</v>
      </c>
      <c r="DA793" s="1460"/>
      <c r="DB793" s="1460"/>
      <c r="DC793" s="1460"/>
      <c r="DD793" s="1461"/>
      <c r="DE793" s="1459">
        <f t="shared" si="45"/>
        <v>0</v>
      </c>
      <c r="DF793" s="1460"/>
      <c r="DG793" s="1460"/>
      <c r="DH793" s="1460"/>
      <c r="DI793" s="1461"/>
      <c r="DJ793" s="1459">
        <f t="shared" si="46"/>
        <v>0</v>
      </c>
      <c r="DK793" s="1460"/>
      <c r="DL793" s="1460"/>
      <c r="DM793" s="1460"/>
      <c r="DN793" s="1461"/>
      <c r="DO793" s="1459">
        <f t="shared" si="47"/>
        <v>0</v>
      </c>
      <c r="DP793" s="1460"/>
      <c r="DQ793" s="1460"/>
      <c r="DR793" s="1460"/>
      <c r="DS793" s="1461"/>
      <c r="DT793" s="6"/>
      <c r="DU793" s="1459">
        <f t="shared" si="48"/>
        <v>0</v>
      </c>
      <c r="DV793" s="1460"/>
      <c r="DW793" s="1460"/>
      <c r="DX793" s="1460"/>
      <c r="DY793" s="1461"/>
      <c r="DZ793" s="1459">
        <f t="shared" si="49"/>
        <v>0</v>
      </c>
      <c r="EA793" s="1460"/>
      <c r="EB793" s="1460"/>
      <c r="EC793" s="1460"/>
      <c r="ED793" s="1461"/>
      <c r="EE793" s="1459">
        <f t="shared" si="50"/>
        <v>0</v>
      </c>
      <c r="EF793" s="1460"/>
      <c r="EG793" s="1460"/>
      <c r="EH793" s="1460"/>
      <c r="EI793" s="1461"/>
      <c r="EJ793" s="1459">
        <f t="shared" si="51"/>
        <v>0</v>
      </c>
      <c r="EK793" s="1460"/>
      <c r="EL793" s="1460"/>
      <c r="EM793" s="1460"/>
      <c r="EN793" s="1461"/>
      <c r="EO793" s="1459">
        <f t="shared" si="52"/>
        <v>0</v>
      </c>
      <c r="EP793" s="1460"/>
      <c r="EQ793" s="1460"/>
      <c r="ER793" s="1460"/>
      <c r="ES793" s="1461"/>
      <c r="ET793" s="1459">
        <f t="shared" si="53"/>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1"/>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2"/>
        <v>0</v>
      </c>
      <c r="CQ794" s="1460"/>
      <c r="CR794" s="1460"/>
      <c r="CS794" s="1460"/>
      <c r="CT794" s="1461"/>
      <c r="CU794" s="1459">
        <f t="shared" si="43"/>
        <v>0</v>
      </c>
      <c r="CV794" s="1460"/>
      <c r="CW794" s="1460"/>
      <c r="CX794" s="1460"/>
      <c r="CY794" s="1461"/>
      <c r="CZ794" s="1459">
        <f t="shared" si="44"/>
        <v>0</v>
      </c>
      <c r="DA794" s="1460"/>
      <c r="DB794" s="1460"/>
      <c r="DC794" s="1460"/>
      <c r="DD794" s="1461"/>
      <c r="DE794" s="1459">
        <f t="shared" si="45"/>
        <v>0</v>
      </c>
      <c r="DF794" s="1460"/>
      <c r="DG794" s="1460"/>
      <c r="DH794" s="1460"/>
      <c r="DI794" s="1461"/>
      <c r="DJ794" s="1459">
        <f t="shared" si="46"/>
        <v>0</v>
      </c>
      <c r="DK794" s="1460"/>
      <c r="DL794" s="1460"/>
      <c r="DM794" s="1460"/>
      <c r="DN794" s="1461"/>
      <c r="DO794" s="1459">
        <f t="shared" si="47"/>
        <v>0</v>
      </c>
      <c r="DP794" s="1460"/>
      <c r="DQ794" s="1460"/>
      <c r="DR794" s="1460"/>
      <c r="DS794" s="1461"/>
      <c r="DT794" s="6"/>
      <c r="DU794" s="1459">
        <f t="shared" si="48"/>
        <v>0</v>
      </c>
      <c r="DV794" s="1460"/>
      <c r="DW794" s="1460"/>
      <c r="DX794" s="1460"/>
      <c r="DY794" s="1461"/>
      <c r="DZ794" s="1459">
        <f t="shared" si="49"/>
        <v>0</v>
      </c>
      <c r="EA794" s="1460"/>
      <c r="EB794" s="1460"/>
      <c r="EC794" s="1460"/>
      <c r="ED794" s="1461"/>
      <c r="EE794" s="1459">
        <f t="shared" si="50"/>
        <v>0</v>
      </c>
      <c r="EF794" s="1460"/>
      <c r="EG794" s="1460"/>
      <c r="EH794" s="1460"/>
      <c r="EI794" s="1461"/>
      <c r="EJ794" s="1459">
        <f t="shared" si="51"/>
        <v>0</v>
      </c>
      <c r="EK794" s="1460"/>
      <c r="EL794" s="1460"/>
      <c r="EM794" s="1460"/>
      <c r="EN794" s="1461"/>
      <c r="EO794" s="1459">
        <f t="shared" si="52"/>
        <v>0</v>
      </c>
      <c r="EP794" s="1460"/>
      <c r="EQ794" s="1460"/>
      <c r="ER794" s="1460"/>
      <c r="ES794" s="1461"/>
      <c r="ET794" s="1459">
        <f t="shared" si="53"/>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1"/>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2"/>
        <v>0</v>
      </c>
      <c r="CQ795" s="1460"/>
      <c r="CR795" s="1460"/>
      <c r="CS795" s="1460"/>
      <c r="CT795" s="1461"/>
      <c r="CU795" s="1459">
        <f t="shared" si="43"/>
        <v>0</v>
      </c>
      <c r="CV795" s="1460"/>
      <c r="CW795" s="1460"/>
      <c r="CX795" s="1460"/>
      <c r="CY795" s="1461"/>
      <c r="CZ795" s="1459">
        <f t="shared" si="44"/>
        <v>0</v>
      </c>
      <c r="DA795" s="1460"/>
      <c r="DB795" s="1460"/>
      <c r="DC795" s="1460"/>
      <c r="DD795" s="1461"/>
      <c r="DE795" s="1459">
        <f t="shared" si="45"/>
        <v>0</v>
      </c>
      <c r="DF795" s="1460"/>
      <c r="DG795" s="1460"/>
      <c r="DH795" s="1460"/>
      <c r="DI795" s="1461"/>
      <c r="DJ795" s="1459">
        <f t="shared" si="46"/>
        <v>0</v>
      </c>
      <c r="DK795" s="1460"/>
      <c r="DL795" s="1460"/>
      <c r="DM795" s="1460"/>
      <c r="DN795" s="1461"/>
      <c r="DO795" s="1459">
        <f t="shared" si="47"/>
        <v>0</v>
      </c>
      <c r="DP795" s="1460"/>
      <c r="DQ795" s="1460"/>
      <c r="DR795" s="1460"/>
      <c r="DS795" s="1461"/>
      <c r="DT795" s="6"/>
      <c r="DU795" s="1459">
        <f t="shared" si="48"/>
        <v>0</v>
      </c>
      <c r="DV795" s="1460"/>
      <c r="DW795" s="1460"/>
      <c r="DX795" s="1460"/>
      <c r="DY795" s="1461"/>
      <c r="DZ795" s="1459">
        <f t="shared" si="49"/>
        <v>0</v>
      </c>
      <c r="EA795" s="1460"/>
      <c r="EB795" s="1460"/>
      <c r="EC795" s="1460"/>
      <c r="ED795" s="1461"/>
      <c r="EE795" s="1459">
        <f t="shared" si="50"/>
        <v>0</v>
      </c>
      <c r="EF795" s="1460"/>
      <c r="EG795" s="1460"/>
      <c r="EH795" s="1460"/>
      <c r="EI795" s="1461"/>
      <c r="EJ795" s="1459">
        <f t="shared" si="51"/>
        <v>0</v>
      </c>
      <c r="EK795" s="1460"/>
      <c r="EL795" s="1460"/>
      <c r="EM795" s="1460"/>
      <c r="EN795" s="1461"/>
      <c r="EO795" s="1459">
        <f t="shared" si="52"/>
        <v>0</v>
      </c>
      <c r="EP795" s="1460"/>
      <c r="EQ795" s="1460"/>
      <c r="ER795" s="1460"/>
      <c r="ES795" s="1461"/>
      <c r="ET795" s="1459">
        <f t="shared" si="53"/>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1"/>
        <v>0</v>
      </c>
      <c r="AD796" s="1354"/>
      <c r="AE796" s="1354"/>
      <c r="AF796" s="1354"/>
      <c r="AG796" s="1355"/>
      <c r="AH796"/>
      <c r="AI796"/>
      <c r="AJ796"/>
      <c r="AK796"/>
      <c r="AL796"/>
      <c r="AM796"/>
      <c r="AN796"/>
      <c r="AO796"/>
      <c r="AP796"/>
      <c r="AQ796"/>
      <c r="AR796"/>
      <c r="AS796"/>
      <c r="AT796"/>
      <c r="AU796"/>
      <c r="AV796"/>
      <c r="AW796"/>
      <c r="AX796"/>
      <c r="AY796"/>
      <c r="AZ796" s="3"/>
      <c r="CP796" s="1459">
        <f t="shared" si="42"/>
        <v>0</v>
      </c>
      <c r="CQ796" s="1460"/>
      <c r="CR796" s="1460"/>
      <c r="CS796" s="1460"/>
      <c r="CT796" s="1461"/>
      <c r="CU796" s="1459">
        <f t="shared" si="43"/>
        <v>0</v>
      </c>
      <c r="CV796" s="1460"/>
      <c r="CW796" s="1460"/>
      <c r="CX796" s="1460"/>
      <c r="CY796" s="1461"/>
      <c r="CZ796" s="1459">
        <f t="shared" si="44"/>
        <v>0</v>
      </c>
      <c r="DA796" s="1460"/>
      <c r="DB796" s="1460"/>
      <c r="DC796" s="1460"/>
      <c r="DD796" s="1461"/>
      <c r="DE796" s="1459">
        <f t="shared" si="45"/>
        <v>0</v>
      </c>
      <c r="DF796" s="1460"/>
      <c r="DG796" s="1460"/>
      <c r="DH796" s="1460"/>
      <c r="DI796" s="1461"/>
      <c r="DJ796" s="1459">
        <f t="shared" si="46"/>
        <v>0</v>
      </c>
      <c r="DK796" s="1460"/>
      <c r="DL796" s="1460"/>
      <c r="DM796" s="1460"/>
      <c r="DN796" s="1461"/>
      <c r="DO796" s="1459">
        <f t="shared" si="47"/>
        <v>0</v>
      </c>
      <c r="DP796" s="1460"/>
      <c r="DQ796" s="1460"/>
      <c r="DR796" s="1460"/>
      <c r="DS796" s="1461"/>
      <c r="DT796" s="6"/>
      <c r="DU796" s="1459">
        <f t="shared" si="48"/>
        <v>0</v>
      </c>
      <c r="DV796" s="1460"/>
      <c r="DW796" s="1460"/>
      <c r="DX796" s="1460"/>
      <c r="DY796" s="1461"/>
      <c r="DZ796" s="1459">
        <f t="shared" si="49"/>
        <v>0</v>
      </c>
      <c r="EA796" s="1460"/>
      <c r="EB796" s="1460"/>
      <c r="EC796" s="1460"/>
      <c r="ED796" s="1461"/>
      <c r="EE796" s="1459">
        <f t="shared" si="50"/>
        <v>0</v>
      </c>
      <c r="EF796" s="1460"/>
      <c r="EG796" s="1460"/>
      <c r="EH796" s="1460"/>
      <c r="EI796" s="1461"/>
      <c r="EJ796" s="1459">
        <f t="shared" si="51"/>
        <v>0</v>
      </c>
      <c r="EK796" s="1460"/>
      <c r="EL796" s="1460"/>
      <c r="EM796" s="1460"/>
      <c r="EN796" s="1461"/>
      <c r="EO796" s="1459">
        <f t="shared" si="52"/>
        <v>0</v>
      </c>
      <c r="EP796" s="1460"/>
      <c r="EQ796" s="1460"/>
      <c r="ER796" s="1460"/>
      <c r="ES796" s="1461"/>
      <c r="ET796" s="1459">
        <f t="shared" si="53"/>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9">
        <f>SUM(DU797:EX797)</f>
        <v>0</v>
      </c>
      <c r="EU799" s="1860"/>
      <c r="EV799" s="1860"/>
      <c r="EW799" s="1860"/>
      <c r="EX799" s="1861"/>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209581</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2514972</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24</v>
      </c>
      <c r="CQ802" s="1474"/>
      <c r="CR802" s="1474"/>
      <c r="CS802" s="1474"/>
      <c r="CT802" s="1475"/>
      <c r="CU802" s="1473">
        <f>CU753+CU777+CU797</f>
        <v>40</v>
      </c>
      <c r="CV802" s="1474"/>
      <c r="CW802" s="1474"/>
      <c r="CX802" s="1474"/>
      <c r="CY802" s="1475"/>
      <c r="CZ802" s="1473">
        <f>CZ753+CZ777+CZ797</f>
        <v>33</v>
      </c>
      <c r="DA802" s="1474"/>
      <c r="DB802" s="1474"/>
      <c r="DC802" s="1474"/>
      <c r="DD802" s="1475"/>
      <c r="DE802" s="1473">
        <f>DE753+DE777+DE797</f>
        <v>33</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224</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v>42</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v>20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54089</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1267392</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15600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6000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333</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21600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6">
        <f>Z817+Y801+Z809</f>
        <v>3803964</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59"/>
      <c r="E825" s="1359"/>
      <c r="F825" s="1359"/>
      <c r="G825" s="1359"/>
      <c r="H825" s="1359"/>
      <c r="I825" s="48"/>
      <c r="J825" s="48"/>
      <c r="K825" s="48"/>
      <c r="L825" s="49"/>
      <c r="M825" s="1643">
        <v>15</v>
      </c>
      <c r="N825" s="1643"/>
      <c r="O825" s="1643"/>
      <c r="P825" s="1643"/>
      <c r="Q825" s="1643">
        <v>18</v>
      </c>
      <c r="R825" s="1643"/>
      <c r="S825" s="1643"/>
      <c r="T825" s="1643"/>
      <c r="U825" s="1643">
        <v>22</v>
      </c>
      <c r="V825" s="1643"/>
      <c r="W825" s="1643"/>
      <c r="X825" s="1643"/>
      <c r="Y825" s="1643">
        <v>27</v>
      </c>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v>8</v>
      </c>
      <c r="N827" s="1643"/>
      <c r="O827" s="1643"/>
      <c r="P827" s="1643"/>
      <c r="Q827" s="1643">
        <v>9</v>
      </c>
      <c r="R827" s="1643"/>
      <c r="S827" s="1643"/>
      <c r="T827" s="1643"/>
      <c r="U827" s="1643">
        <v>13</v>
      </c>
      <c r="V827" s="1643"/>
      <c r="W827" s="1643"/>
      <c r="X827" s="1643"/>
      <c r="Y827" s="1643">
        <v>17</v>
      </c>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v>27</v>
      </c>
      <c r="N829" s="1643"/>
      <c r="O829" s="1643"/>
      <c r="P829" s="1643"/>
      <c r="Q829" s="1643">
        <v>32</v>
      </c>
      <c r="R829" s="1643"/>
      <c r="S829" s="1643"/>
      <c r="T829" s="1643"/>
      <c r="U829" s="1643">
        <v>45</v>
      </c>
      <c r="V829" s="1643"/>
      <c r="W829" s="1643"/>
      <c r="X829" s="1643"/>
      <c r="Y829" s="1643">
        <v>59</v>
      </c>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333</v>
      </c>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50</v>
      </c>
      <c r="N832" s="1637"/>
      <c r="O832" s="1637"/>
      <c r="P832" s="1637"/>
      <c r="Q832" s="1637">
        <f>SUM(Q825:T831)</f>
        <v>59</v>
      </c>
      <c r="R832" s="1637"/>
      <c r="S832" s="1637"/>
      <c r="T832" s="1637"/>
      <c r="U832" s="1637">
        <f>SUM(U825:X831)</f>
        <v>80</v>
      </c>
      <c r="V832" s="1637"/>
      <c r="W832" s="1637"/>
      <c r="X832" s="1637"/>
      <c r="Y832" s="1637">
        <f>SUM(Y825:AB831)</f>
        <v>103</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7" t="s">
        <v>2717</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6500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49500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2718</v>
      </c>
      <c r="N846" s="1595"/>
      <c r="O846" s="1595"/>
      <c r="P846" s="1595"/>
      <c r="Q846" s="1595"/>
      <c r="R846" s="1595"/>
      <c r="S846" s="1595"/>
      <c r="T846" s="1595"/>
      <c r="U846" s="1595"/>
      <c r="V846" s="1596"/>
      <c r="W846" s="1482">
        <f>65000+8700</f>
        <v>73700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129700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93600</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v>0</v>
      </c>
      <c r="X851" s="1652"/>
      <c r="Y851" s="1652"/>
      <c r="Z851" s="1652"/>
      <c r="AA851" s="1652"/>
      <c r="AB851" s="1652"/>
      <c r="AC851" s="1652"/>
      <c r="AZ851" s="1719"/>
      <c r="BA851" s="1719"/>
      <c r="BB851" s="14"/>
      <c r="BC851" s="14"/>
    </row>
    <row r="852" spans="3:55" ht="13" customHeight="1">
      <c r="J852" s="45" t="s">
        <v>350</v>
      </c>
      <c r="K852" s="5"/>
      <c r="L852" s="5"/>
      <c r="M852" s="5"/>
      <c r="N852" s="5"/>
      <c r="O852" s="5"/>
      <c r="P852" s="5"/>
      <c r="Q852" s="5"/>
      <c r="R852" s="5"/>
      <c r="S852" s="5"/>
      <c r="T852" s="5"/>
      <c r="U852" s="5"/>
      <c r="V852" s="46"/>
      <c r="W852" s="1652">
        <v>0</v>
      </c>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55250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139100</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6">
        <f>SUM(W851:W854)</f>
        <v>194350</v>
      </c>
      <c r="X855" s="1706"/>
      <c r="Y855" s="1706"/>
      <c r="Z855" s="1706"/>
      <c r="AA855" s="1706"/>
      <c r="AB855" s="1706"/>
      <c r="AC855" s="1706"/>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170000</v>
      </c>
      <c r="X857" s="1632"/>
      <c r="Y857" s="1632"/>
      <c r="Z857" s="1632"/>
      <c r="AA857" s="1632"/>
      <c r="AB857" s="1632"/>
      <c r="AC857" s="1633"/>
      <c r="AD857" s="528"/>
      <c r="AZ857" s="34"/>
      <c r="BA857" s="34"/>
      <c r="BB857" s="34"/>
      <c r="BC857" s="34"/>
    </row>
    <row r="858" spans="3:55" ht="13" customHeight="1">
      <c r="C858" s="2" t="s">
        <v>346</v>
      </c>
      <c r="J858" s="121" t="s">
        <v>1655</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0</v>
      </c>
      <c r="X859" s="1632"/>
      <c r="Y859" s="1632"/>
      <c r="Z859" s="1632"/>
      <c r="AA859" s="1632"/>
      <c r="AB859" s="1632"/>
      <c r="AC859" s="1633"/>
      <c r="AD859" s="533"/>
      <c r="AZ859" s="34"/>
      <c r="BA859" s="34"/>
      <c r="BB859" s="34"/>
      <c r="BC859" s="34"/>
    </row>
    <row r="860" spans="3:55" ht="13" customHeight="1">
      <c r="C860" s="2"/>
      <c r="J860" s="121" t="s">
        <v>1656</v>
      </c>
      <c r="K860" s="5"/>
      <c r="L860" s="5"/>
      <c r="M860" s="5"/>
      <c r="N860" s="5"/>
      <c r="O860" s="5"/>
      <c r="P860" s="5"/>
      <c r="Q860" s="5"/>
      <c r="R860" s="5"/>
      <c r="S860" s="5"/>
      <c r="T860" s="1710">
        <v>2</v>
      </c>
      <c r="U860" s="1697"/>
      <c r="V860" s="1711"/>
      <c r="W860" s="874"/>
      <c r="X860" s="875"/>
      <c r="Y860" s="875"/>
      <c r="Z860" s="875"/>
      <c r="AA860" s="875"/>
      <c r="AB860" s="875"/>
      <c r="AC860" s="876"/>
      <c r="AD860" s="533"/>
      <c r="AZ860" s="34"/>
      <c r="BA860" s="34"/>
      <c r="BB860" s="34"/>
      <c r="BC860" s="34"/>
    </row>
    <row r="861" spans="3:55" ht="13" customHeight="1">
      <c r="J861" s="45" t="s">
        <v>169</v>
      </c>
      <c r="K861" s="5"/>
      <c r="L861" s="5"/>
      <c r="M861" s="1594" t="s">
        <v>154</v>
      </c>
      <c r="N861" s="1595"/>
      <c r="O861" s="1595"/>
      <c r="P861" s="1595"/>
      <c r="Q861" s="1595"/>
      <c r="R861" s="1595"/>
      <c r="S861" s="1595"/>
      <c r="T861" s="1595"/>
      <c r="U861" s="1595"/>
      <c r="V861" s="1596"/>
      <c r="W861" s="1631">
        <v>94500</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2">
        <f>SUM(W857:W861)</f>
        <v>264500</v>
      </c>
      <c r="X862" s="1713"/>
      <c r="Y862" s="1713"/>
      <c r="Z862" s="1713"/>
      <c r="AA862" s="1713"/>
      <c r="AB862" s="1713"/>
      <c r="AC862" s="1714"/>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208000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v>39000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3" customHeight="1">
      <c r="J871" s="45" t="s">
        <v>169</v>
      </c>
      <c r="K871" s="5"/>
      <c r="L871" s="5"/>
      <c r="M871" s="1594" t="s">
        <v>2721</v>
      </c>
      <c r="N871" s="1595"/>
      <c r="O871" s="1595"/>
      <c r="P871" s="1595"/>
      <c r="Q871" s="1595"/>
      <c r="R871" s="1595"/>
      <c r="S871" s="1595"/>
      <c r="T871" s="1595"/>
      <c r="U871" s="1595"/>
      <c r="V871" s="1596"/>
      <c r="W871" s="1482">
        <v>309000</v>
      </c>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4">
        <f>SUM(W865:W871)</f>
        <v>348000</v>
      </c>
      <c r="X872" s="1704"/>
      <c r="Y872" s="1704"/>
      <c r="Z872" s="1704"/>
      <c r="AA872" s="1704"/>
      <c r="AB872" s="1704"/>
      <c r="AC872" s="17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594" t="s">
        <v>2722</v>
      </c>
      <c r="N874" s="1595"/>
      <c r="O874" s="1595"/>
      <c r="P874" s="1595"/>
      <c r="Q874" s="1595"/>
      <c r="R874" s="1595"/>
      <c r="S874" s="1595"/>
      <c r="T874" s="1595"/>
      <c r="U874" s="1595"/>
      <c r="V874" s="1596"/>
      <c r="W874" s="1467">
        <v>7000</v>
      </c>
      <c r="X874" s="1468"/>
      <c r="Y874" s="1468"/>
      <c r="Z874" s="1468"/>
      <c r="AA874" s="1468"/>
      <c r="AB874" s="1468"/>
      <c r="AC874" s="1469"/>
      <c r="AD874" s="533"/>
      <c r="AV874" s="14"/>
      <c r="AW874" s="14"/>
      <c r="AX874" s="14"/>
      <c r="AY874" s="14"/>
      <c r="AZ874" s="34"/>
      <c r="BA874" s="34"/>
      <c r="BB874" s="34"/>
      <c r="BC874" s="34"/>
    </row>
    <row r="875" spans="3:55" ht="13" customHeight="1">
      <c r="C875" s="2" t="s">
        <v>1244</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7000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1245150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130</v>
      </c>
      <c r="AD884" s="1715"/>
      <c r="AE884" s="1715"/>
      <c r="AF884" s="1715"/>
      <c r="AG884" s="1715"/>
      <c r="AH884" s="1716"/>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9578</v>
      </c>
      <c r="AD885" s="1704"/>
      <c r="AE885" s="1704"/>
      <c r="AF885" s="1704"/>
      <c r="AG885" s="1704"/>
      <c r="AH885" s="17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7"/>
      <c r="AD886" s="1718"/>
      <c r="AE886" s="1718"/>
      <c r="AF886" s="1718"/>
      <c r="AG886" s="1718"/>
      <c r="AH886" s="1718"/>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v>0</v>
      </c>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74750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39000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26000</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4000</v>
      </c>
      <c r="AD891" s="1468"/>
      <c r="AE891" s="1468"/>
      <c r="AF891" s="1468"/>
      <c r="AG891" s="1468"/>
      <c r="AH891" s="1469"/>
      <c r="AZ891" s="34"/>
      <c r="BA891" s="34"/>
      <c r="BB891" s="34"/>
      <c r="BC891" s="34"/>
    </row>
    <row r="892" spans="3:55" ht="13"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3" customHeight="1">
      <c r="C894" s="1634" t="s">
        <v>2723</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v>5000</v>
      </c>
      <c r="AD894" s="1482"/>
      <c r="AE894" s="1482"/>
      <c r="AF894" s="1482"/>
      <c r="AG894" s="1482"/>
      <c r="AH894" s="1482"/>
      <c r="AZ894" s="34"/>
      <c r="BA894" s="34"/>
      <c r="BB894" s="34"/>
      <c r="BC894" s="34"/>
    </row>
    <row r="895" spans="3:55" ht="13"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3"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792</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818</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404" t="s">
        <v>545</v>
      </c>
      <c r="V918" s="1405"/>
      <c r="W918" s="1405"/>
      <c r="X918" s="1405"/>
      <c r="Y918" s="1405"/>
      <c r="Z918" s="1406"/>
      <c r="AA918" s="1410">
        <f>AM554</f>
        <v>53248129</v>
      </c>
      <c r="AB918" s="1411"/>
      <c r="AC918" s="1411"/>
      <c r="AD918" s="1411"/>
      <c r="AE918" s="1411"/>
      <c r="AF918" s="1412"/>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404" t="s">
        <v>545</v>
      </c>
      <c r="V919" s="1405"/>
      <c r="W919" s="1405"/>
      <c r="X919" s="1405"/>
      <c r="Y919" s="1405"/>
      <c r="Z919" s="1406"/>
      <c r="AA919" s="1410">
        <f>AM555</f>
        <v>28857696</v>
      </c>
      <c r="AB919" s="1411"/>
      <c r="AC919" s="1411"/>
      <c r="AD919" s="1411"/>
      <c r="AE919" s="1411"/>
      <c r="AF919" s="1412"/>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404" t="s">
        <v>591</v>
      </c>
      <c r="V920" s="1405"/>
      <c r="W920" s="1405"/>
      <c r="X920" s="1405"/>
      <c r="Y920" s="1405"/>
      <c r="Z920" s="1406"/>
      <c r="AA920" s="1410"/>
      <c r="AB920" s="1411"/>
      <c r="AC920" s="1411"/>
      <c r="AD920" s="1411"/>
      <c r="AE920" s="1411"/>
      <c r="AF920" s="1412"/>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404" t="s">
        <v>591</v>
      </c>
      <c r="V921" s="1405"/>
      <c r="W921" s="1405"/>
      <c r="X921" s="1405"/>
      <c r="Y921" s="1405"/>
      <c r="Z921" s="1406"/>
      <c r="AA921" s="1410"/>
      <c r="AB921" s="1411"/>
      <c r="AC921" s="1411"/>
      <c r="AD921" s="1411"/>
      <c r="AE921" s="1411"/>
      <c r="AF921" s="1412"/>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404" t="s">
        <v>591</v>
      </c>
      <c r="V922" s="1405"/>
      <c r="W922" s="1405"/>
      <c r="X922" s="1405"/>
      <c r="Y922" s="1405"/>
      <c r="Z922" s="1406"/>
      <c r="AA922" s="1410"/>
      <c r="AB922" s="1411"/>
      <c r="AC922" s="1411"/>
      <c r="AD922" s="1411"/>
      <c r="AE922" s="1411"/>
      <c r="AF922" s="1412"/>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404" t="s">
        <v>591</v>
      </c>
      <c r="V923" s="1405"/>
      <c r="W923" s="1405"/>
      <c r="X923" s="1405"/>
      <c r="Y923" s="1405"/>
      <c r="Z923" s="1406"/>
      <c r="AA923" s="1410"/>
      <c r="AB923" s="1411"/>
      <c r="AC923" s="1411"/>
      <c r="AD923" s="1411"/>
      <c r="AE923" s="1411"/>
      <c r="AF923" s="1412"/>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404" t="s">
        <v>591</v>
      </c>
      <c r="V924" s="1405"/>
      <c r="W924" s="1405"/>
      <c r="X924" s="1405"/>
      <c r="Y924" s="1405"/>
      <c r="Z924" s="1406"/>
      <c r="AA924" s="1410"/>
      <c r="AB924" s="1411"/>
      <c r="AC924" s="1411"/>
      <c r="AD924" s="1411"/>
      <c r="AE924" s="1411"/>
      <c r="AF924" s="1412"/>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404" t="s">
        <v>591</v>
      </c>
      <c r="V925" s="1405"/>
      <c r="W925" s="1405"/>
      <c r="X925" s="1405"/>
      <c r="Y925" s="1405"/>
      <c r="Z925" s="1406"/>
      <c r="AA925" s="1410"/>
      <c r="AB925" s="1411"/>
      <c r="AC925" s="1411"/>
      <c r="AD925" s="1411"/>
      <c r="AE925" s="1411"/>
      <c r="AF925" s="1412"/>
      <c r="AZ925" s="34"/>
      <c r="BA925" s="34"/>
      <c r="BB925" s="34"/>
      <c r="BC925" s="34"/>
    </row>
    <row r="926" spans="1:58" ht="13" customHeight="1">
      <c r="F926" s="1602" t="s">
        <v>2193</v>
      </c>
      <c r="G926" s="1603"/>
      <c r="H926" s="1603"/>
      <c r="I926" s="1603"/>
      <c r="J926" s="1603"/>
      <c r="K926" s="1603"/>
      <c r="L926" s="1603"/>
      <c r="M926" s="1603"/>
      <c r="N926" s="1603"/>
      <c r="O926" s="1603"/>
      <c r="P926" s="1603"/>
      <c r="Q926" s="1603"/>
      <c r="R926" s="1603"/>
      <c r="S926" s="1603"/>
      <c r="T926" s="1604"/>
      <c r="U926" s="1404" t="s">
        <v>591</v>
      </c>
      <c r="V926" s="1405"/>
      <c r="W926" s="1405"/>
      <c r="X926" s="1405"/>
      <c r="Y926" s="1405"/>
      <c r="Z926" s="1406"/>
      <c r="AA926" s="1410"/>
      <c r="AB926" s="1411"/>
      <c r="AC926" s="1411"/>
      <c r="AD926" s="1411"/>
      <c r="AE926" s="1411"/>
      <c r="AF926" s="1412"/>
      <c r="AZ926" s="34"/>
      <c r="BA926" s="34"/>
      <c r="BB926" s="34"/>
      <c r="BC926" s="34"/>
    </row>
    <row r="927" spans="1:58" ht="13" customHeight="1">
      <c r="F927" s="1602" t="s">
        <v>679</v>
      </c>
      <c r="G927" s="1603"/>
      <c r="H927" s="1603"/>
      <c r="I927" s="1603"/>
      <c r="J927" s="1603"/>
      <c r="K927" s="1603"/>
      <c r="L927" s="1603"/>
      <c r="M927" s="1603"/>
      <c r="N927" s="1603"/>
      <c r="O927" s="1603"/>
      <c r="P927" s="1603"/>
      <c r="Q927" s="1603"/>
      <c r="R927" s="1603"/>
      <c r="S927" s="1603"/>
      <c r="T927" s="1604"/>
      <c r="U927" s="1404" t="s">
        <v>591</v>
      </c>
      <c r="V927" s="1405"/>
      <c r="W927" s="1405"/>
      <c r="X927" s="1405"/>
      <c r="Y927" s="1405"/>
      <c r="Z927" s="1406"/>
      <c r="AA927" s="1410"/>
      <c r="AB927" s="1411"/>
      <c r="AC927" s="1411"/>
      <c r="AD927" s="1411"/>
      <c r="AE927" s="1411"/>
      <c r="AF927" s="1412"/>
      <c r="AU927" s="2"/>
      <c r="AZ927" s="34"/>
      <c r="BA927" s="34"/>
      <c r="BB927" s="34"/>
      <c r="BC927" s="34"/>
    </row>
    <row r="928" spans="1:58" ht="13" customHeight="1">
      <c r="F928" s="1602" t="s">
        <v>2194</v>
      </c>
      <c r="G928" s="1603"/>
      <c r="H928" s="1603"/>
      <c r="I928" s="1603"/>
      <c r="J928" s="1603"/>
      <c r="K928" s="1603"/>
      <c r="L928" s="1603"/>
      <c r="M928" s="1603"/>
      <c r="N928" s="1603"/>
      <c r="O928" s="1603"/>
      <c r="P928" s="1603"/>
      <c r="Q928" s="1603"/>
      <c r="R928" s="1603"/>
      <c r="S928" s="1603"/>
      <c r="T928" s="1604"/>
      <c r="U928" s="1404" t="s">
        <v>591</v>
      </c>
      <c r="V928" s="1405"/>
      <c r="W928" s="1405"/>
      <c r="X928" s="1405"/>
      <c r="Y928" s="1405"/>
      <c r="Z928" s="1406"/>
      <c r="AA928" s="1410"/>
      <c r="AB928" s="1411"/>
      <c r="AC928" s="1411"/>
      <c r="AD928" s="1411"/>
      <c r="AE928" s="1411"/>
      <c r="AF928" s="1412"/>
      <c r="AU928" s="2"/>
      <c r="AZ928" s="34"/>
      <c r="BA928" s="34"/>
      <c r="BB928" s="34"/>
      <c r="BC928" s="34"/>
    </row>
    <row r="929" spans="6:55" ht="13" customHeight="1">
      <c r="F929" s="1602" t="s">
        <v>2195</v>
      </c>
      <c r="G929" s="1603"/>
      <c r="H929" s="1603"/>
      <c r="I929" s="1603"/>
      <c r="J929" s="1603"/>
      <c r="K929" s="1603"/>
      <c r="L929" s="1603"/>
      <c r="M929" s="1603"/>
      <c r="N929" s="1603"/>
      <c r="O929" s="1603"/>
      <c r="P929" s="1603"/>
      <c r="Q929" s="1603"/>
      <c r="R929" s="1603"/>
      <c r="S929" s="1603"/>
      <c r="T929" s="1604"/>
      <c r="U929" s="1404" t="s">
        <v>591</v>
      </c>
      <c r="V929" s="1405"/>
      <c r="W929" s="1405"/>
      <c r="X929" s="1405"/>
      <c r="Y929" s="1405"/>
      <c r="Z929" s="1406"/>
      <c r="AA929" s="1410"/>
      <c r="AB929" s="1411"/>
      <c r="AC929" s="1411"/>
      <c r="AD929" s="1411"/>
      <c r="AE929" s="1411"/>
      <c r="AF929" s="1412"/>
      <c r="AU929" s="2"/>
      <c r="AZ929" s="34"/>
      <c r="BA929" s="34"/>
      <c r="BB929" s="34"/>
      <c r="BC929" s="34"/>
    </row>
    <row r="930" spans="6:55" ht="13" customHeight="1">
      <c r="F930" s="1602" t="s">
        <v>2196</v>
      </c>
      <c r="G930" s="1603"/>
      <c r="H930" s="1603"/>
      <c r="I930" s="1603"/>
      <c r="J930" s="1603"/>
      <c r="K930" s="1603"/>
      <c r="L930" s="1603"/>
      <c r="M930" s="1603"/>
      <c r="N930" s="1603"/>
      <c r="O930" s="1603"/>
      <c r="P930" s="1603"/>
      <c r="Q930" s="1603"/>
      <c r="R930" s="1603"/>
      <c r="S930" s="1603"/>
      <c r="T930" s="1604"/>
      <c r="U930" s="1404" t="s">
        <v>591</v>
      </c>
      <c r="V930" s="1405"/>
      <c r="W930" s="1405"/>
      <c r="X930" s="1405"/>
      <c r="Y930" s="1405"/>
      <c r="Z930" s="1406"/>
      <c r="AA930" s="1410"/>
      <c r="AB930" s="1411"/>
      <c r="AC930" s="1411"/>
      <c r="AD930" s="1411"/>
      <c r="AE930" s="1411"/>
      <c r="AF930" s="1412"/>
      <c r="AU930" s="2"/>
      <c r="AZ930" s="34"/>
      <c r="BA930" s="34"/>
      <c r="BB930" s="34"/>
      <c r="BC930" s="34"/>
    </row>
    <row r="931" spans="6:55" ht="13" customHeight="1">
      <c r="F931" s="1602" t="s">
        <v>2197</v>
      </c>
      <c r="G931" s="1603"/>
      <c r="H931" s="1603"/>
      <c r="I931" s="1603"/>
      <c r="J931" s="1603"/>
      <c r="K931" s="1603"/>
      <c r="L931" s="1603"/>
      <c r="M931" s="1603"/>
      <c r="N931" s="1603"/>
      <c r="O931" s="1603"/>
      <c r="P931" s="1603"/>
      <c r="Q931" s="1603"/>
      <c r="R931" s="1603"/>
      <c r="S931" s="1603"/>
      <c r="T931" s="1604"/>
      <c r="U931" s="1404" t="s">
        <v>591</v>
      </c>
      <c r="V931" s="1405"/>
      <c r="W931" s="1405"/>
      <c r="X931" s="1405"/>
      <c r="Y931" s="1405"/>
      <c r="Z931" s="1406"/>
      <c r="AA931" s="1410"/>
      <c r="AB931" s="1411"/>
      <c r="AC931" s="1411"/>
      <c r="AD931" s="1411"/>
      <c r="AE931" s="1411"/>
      <c r="AF931" s="1412"/>
      <c r="AU931" s="2"/>
      <c r="AZ931" s="34"/>
      <c r="BA931" s="34"/>
      <c r="BB931" s="34"/>
      <c r="BC931" s="34"/>
    </row>
    <row r="932" spans="6:55" ht="13" customHeight="1">
      <c r="F932" s="1602" t="s">
        <v>2198</v>
      </c>
      <c r="G932" s="1603"/>
      <c r="H932" s="1603"/>
      <c r="I932" s="1603"/>
      <c r="J932" s="1603"/>
      <c r="K932" s="1603"/>
      <c r="L932" s="1603"/>
      <c r="M932" s="1603"/>
      <c r="N932" s="1603"/>
      <c r="O932" s="1603"/>
      <c r="P932" s="1603"/>
      <c r="Q932" s="1603"/>
      <c r="R932" s="1603"/>
      <c r="S932" s="1603"/>
      <c r="T932" s="1604"/>
      <c r="U932" s="1404" t="s">
        <v>591</v>
      </c>
      <c r="V932" s="1405"/>
      <c r="W932" s="1405"/>
      <c r="X932" s="1405"/>
      <c r="Y932" s="1405"/>
      <c r="Z932" s="1406"/>
      <c r="AA932" s="1410"/>
      <c r="AB932" s="1411"/>
      <c r="AC932" s="1411"/>
      <c r="AD932" s="1411"/>
      <c r="AE932" s="1411"/>
      <c r="AF932" s="1412"/>
      <c r="AZ932" s="30"/>
      <c r="BA932" s="30"/>
    </row>
    <row r="933" spans="6:55" ht="13" customHeight="1">
      <c r="F933" s="178" t="s">
        <v>676</v>
      </c>
      <c r="G933" s="5"/>
      <c r="H933" s="5"/>
      <c r="I933" s="5"/>
      <c r="J933" s="5"/>
      <c r="K933" s="5"/>
      <c r="L933" s="5"/>
      <c r="M933" s="5"/>
      <c r="N933" s="5"/>
      <c r="O933" s="5"/>
      <c r="P933" s="5"/>
      <c r="Q933" s="5"/>
      <c r="R933" s="5"/>
      <c r="S933" s="5"/>
      <c r="T933" s="46"/>
      <c r="U933" s="1404" t="s">
        <v>591</v>
      </c>
      <c r="V933" s="1405"/>
      <c r="W933" s="1405"/>
      <c r="X933" s="1405"/>
      <c r="Y933" s="1405"/>
      <c r="Z933" s="1406"/>
      <c r="AA933" s="1410"/>
      <c r="AB933" s="1411"/>
      <c r="AC933" s="1411"/>
      <c r="AD933" s="1411"/>
      <c r="AE933" s="1411"/>
      <c r="AF933" s="1412"/>
    </row>
    <row r="934" spans="6:55" ht="13" customHeight="1">
      <c r="F934" s="121" t="s">
        <v>1277</v>
      </c>
      <c r="G934" s="5"/>
      <c r="H934" s="5"/>
      <c r="I934" s="5"/>
      <c r="J934" s="5"/>
      <c r="K934" s="5"/>
      <c r="L934" s="5"/>
      <c r="M934" s="5"/>
      <c r="N934" s="5"/>
      <c r="O934" s="5"/>
      <c r="P934" s="5"/>
      <c r="Q934" s="5"/>
      <c r="R934" s="5"/>
      <c r="S934" s="5"/>
      <c r="T934" s="46"/>
      <c r="U934" s="1404" t="s">
        <v>591</v>
      </c>
      <c r="V934" s="1405"/>
      <c r="W934" s="1405"/>
      <c r="X934" s="1405"/>
      <c r="Y934" s="1405"/>
      <c r="Z934" s="1406"/>
      <c r="AA934" s="1410"/>
      <c r="AB934" s="1411"/>
      <c r="AC934" s="1411"/>
      <c r="AD934" s="1411"/>
      <c r="AE934" s="1411"/>
      <c r="AF934" s="1412"/>
      <c r="AZ934" s="30"/>
      <c r="BA934" s="14"/>
    </row>
    <row r="935" spans="6:55" ht="13" customHeight="1">
      <c r="F935" s="66" t="s">
        <v>802</v>
      </c>
      <c r="G935" s="5"/>
      <c r="H935" s="5"/>
      <c r="I935" s="5"/>
      <c r="J935" s="5"/>
      <c r="K935" s="5"/>
      <c r="L935" s="5"/>
      <c r="M935" s="5"/>
      <c r="N935" s="5"/>
      <c r="O935" s="5"/>
      <c r="P935" s="5"/>
      <c r="Q935" s="5"/>
      <c r="R935" s="5"/>
      <c r="S935" s="5"/>
      <c r="T935" s="46"/>
      <c r="U935" s="1404" t="s">
        <v>591</v>
      </c>
      <c r="V935" s="1405"/>
      <c r="W935" s="1405"/>
      <c r="X935" s="1405"/>
      <c r="Y935" s="1405"/>
      <c r="Z935" s="1406"/>
      <c r="AA935" s="1410"/>
      <c r="AB935" s="1411"/>
      <c r="AC935" s="1411"/>
      <c r="AD935" s="1411"/>
      <c r="AE935" s="1411"/>
      <c r="AF935" s="1412"/>
      <c r="AZ935" s="30"/>
      <c r="BA935" s="14"/>
    </row>
    <row r="936" spans="6:55" ht="13" customHeight="1">
      <c r="F936" s="1640" t="s">
        <v>2202</v>
      </c>
      <c r="G936" s="1641"/>
      <c r="H936" s="1641"/>
      <c r="I936" s="1641"/>
      <c r="J936" s="1641"/>
      <c r="K936" s="1641"/>
      <c r="L936" s="1641"/>
      <c r="M936" s="1641"/>
      <c r="N936" s="1641"/>
      <c r="O936" s="1641"/>
      <c r="P936" s="1641"/>
      <c r="Q936" s="1641"/>
      <c r="R936" s="1641"/>
      <c r="S936" s="1641"/>
      <c r="T936" s="1642"/>
      <c r="U936" s="1404" t="s">
        <v>591</v>
      </c>
      <c r="V936" s="1405"/>
      <c r="W936" s="1405"/>
      <c r="X936" s="1405"/>
      <c r="Y936" s="1405"/>
      <c r="Z936" s="1406"/>
      <c r="AA936" s="1410"/>
      <c r="AB936" s="1411"/>
      <c r="AC936" s="1411"/>
      <c r="AD936" s="1411"/>
      <c r="AE936" s="1411"/>
      <c r="AF936" s="1412"/>
      <c r="AZ936" s="30"/>
      <c r="BA936" s="14"/>
    </row>
    <row r="937" spans="6:55" ht="13" customHeight="1">
      <c r="F937" s="1640" t="s">
        <v>2203</v>
      </c>
      <c r="G937" s="1641"/>
      <c r="H937" s="1641"/>
      <c r="I937" s="1641"/>
      <c r="J937" s="1641"/>
      <c r="K937" s="1641"/>
      <c r="L937" s="1641"/>
      <c r="M937" s="1641"/>
      <c r="N937" s="1641"/>
      <c r="O937" s="1641"/>
      <c r="P937" s="1641"/>
      <c r="Q937" s="1641"/>
      <c r="R937" s="1641"/>
      <c r="S937" s="1641"/>
      <c r="T937" s="1642"/>
      <c r="U937" s="1404" t="s">
        <v>591</v>
      </c>
      <c r="V937" s="1405"/>
      <c r="W937" s="1405"/>
      <c r="X937" s="1405"/>
      <c r="Y937" s="1405"/>
      <c r="Z937" s="1406"/>
      <c r="AA937" s="1410"/>
      <c r="AB937" s="1411"/>
      <c r="AC937" s="1411"/>
      <c r="AD937" s="1411"/>
      <c r="AE937" s="1411"/>
      <c r="AF937" s="1412"/>
      <c r="AZ937" s="30"/>
      <c r="BA937" s="30"/>
    </row>
    <row r="938" spans="6:55" ht="13" customHeight="1">
      <c r="F938" s="1602" t="s">
        <v>2199</v>
      </c>
      <c r="G938" s="1603"/>
      <c r="H938" s="1603"/>
      <c r="I938" s="1603"/>
      <c r="J938" s="1603"/>
      <c r="K938" s="1603"/>
      <c r="L938" s="1603"/>
      <c r="M938" s="1603"/>
      <c r="N938" s="1603"/>
      <c r="O938" s="1603"/>
      <c r="P938" s="1603"/>
      <c r="Q938" s="1603"/>
      <c r="R938" s="1603"/>
      <c r="S938" s="1603"/>
      <c r="T938" s="1604"/>
      <c r="U938" s="1404" t="s">
        <v>591</v>
      </c>
      <c r="V938" s="1405"/>
      <c r="W938" s="1405"/>
      <c r="X938" s="1405"/>
      <c r="Y938" s="1405"/>
      <c r="Z938" s="1406"/>
      <c r="AA938" s="1410"/>
      <c r="AB938" s="1411"/>
      <c r="AC938" s="1411"/>
      <c r="AD938" s="1411"/>
      <c r="AE938" s="1411"/>
      <c r="AF938" s="1412"/>
      <c r="AZ938" s="30"/>
      <c r="BA938" s="30"/>
    </row>
    <row r="939" spans="6:55" ht="13" customHeight="1">
      <c r="F939" s="1602" t="s">
        <v>2200</v>
      </c>
      <c r="G939" s="1603"/>
      <c r="H939" s="1603"/>
      <c r="I939" s="1603"/>
      <c r="J939" s="1603"/>
      <c r="K939" s="1603"/>
      <c r="L939" s="1603"/>
      <c r="M939" s="1603"/>
      <c r="N939" s="1603"/>
      <c r="O939" s="1603"/>
      <c r="P939" s="1603"/>
      <c r="Q939" s="1603"/>
      <c r="R939" s="1603"/>
      <c r="S939" s="1603"/>
      <c r="T939" s="1604"/>
      <c r="U939" s="1404" t="s">
        <v>591</v>
      </c>
      <c r="V939" s="1405"/>
      <c r="W939" s="1405"/>
      <c r="X939" s="1405"/>
      <c r="Y939" s="1405"/>
      <c r="Z939" s="1406"/>
      <c r="AA939" s="1410"/>
      <c r="AB939" s="1411"/>
      <c r="AC939" s="1411"/>
      <c r="AD939" s="1411"/>
      <c r="AE939" s="1411"/>
      <c r="AF939" s="1412"/>
      <c r="AZ939" s="30"/>
      <c r="BA939" s="30"/>
    </row>
    <row r="940" spans="6:55" ht="13" customHeight="1">
      <c r="F940" s="1602" t="s">
        <v>2201</v>
      </c>
      <c r="G940" s="1603"/>
      <c r="H940" s="1603"/>
      <c r="I940" s="1603"/>
      <c r="J940" s="1603"/>
      <c r="K940" s="1603"/>
      <c r="L940" s="1603"/>
      <c r="M940" s="1603"/>
      <c r="N940" s="1603"/>
      <c r="O940" s="1603"/>
      <c r="P940" s="1603"/>
      <c r="Q940" s="1603"/>
      <c r="R940" s="1603"/>
      <c r="S940" s="1603"/>
      <c r="T940" s="1604"/>
      <c r="U940" s="1404" t="s">
        <v>591</v>
      </c>
      <c r="V940" s="1405"/>
      <c r="W940" s="1405"/>
      <c r="X940" s="1405"/>
      <c r="Y940" s="1405"/>
      <c r="Z940" s="1406"/>
      <c r="AA940" s="1410"/>
      <c r="AB940" s="1411"/>
      <c r="AC940" s="1411"/>
      <c r="AD940" s="1411"/>
      <c r="AE940" s="1411"/>
      <c r="AF940" s="1412"/>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404" t="s">
        <v>591</v>
      </c>
      <c r="V941" s="1405"/>
      <c r="W941" s="1405"/>
      <c r="X941" s="1405"/>
      <c r="Y941" s="1405"/>
      <c r="Z941" s="1406"/>
      <c r="AA941" s="1410"/>
      <c r="AB941" s="1411"/>
      <c r="AC941" s="1411"/>
      <c r="AD941" s="1411"/>
      <c r="AE941" s="1411"/>
      <c r="AF941" s="1412"/>
      <c r="AZ941" s="34"/>
      <c r="BA941" s="34"/>
      <c r="BB941" s="14"/>
      <c r="BC941" s="14"/>
    </row>
    <row r="942" spans="6:55" ht="13" customHeight="1">
      <c r="F942" s="1640" t="s">
        <v>2204</v>
      </c>
      <c r="G942" s="1641"/>
      <c r="H942" s="1641"/>
      <c r="I942" s="1641"/>
      <c r="J942" s="1641"/>
      <c r="K942" s="1641"/>
      <c r="L942" s="1641"/>
      <c r="M942" s="1641"/>
      <c r="N942" s="1641"/>
      <c r="O942" s="1641"/>
      <c r="P942" s="1641"/>
      <c r="Q942" s="1641"/>
      <c r="R942" s="1641"/>
      <c r="S942" s="1641"/>
      <c r="T942" s="1642"/>
      <c r="U942" s="1404" t="s">
        <v>591</v>
      </c>
      <c r="V942" s="1405"/>
      <c r="W942" s="1405"/>
      <c r="X942" s="1405"/>
      <c r="Y942" s="1405"/>
      <c r="Z942" s="1406"/>
      <c r="AA942" s="1410"/>
      <c r="AB942" s="1411"/>
      <c r="AC942" s="1411"/>
      <c r="AD942" s="1411"/>
      <c r="AE942" s="1411"/>
      <c r="AF942" s="1412"/>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404" t="s">
        <v>591</v>
      </c>
      <c r="V943" s="1405"/>
      <c r="W943" s="1405"/>
      <c r="X943" s="1405"/>
      <c r="Y943" s="1405"/>
      <c r="Z943" s="1406"/>
      <c r="AA943" s="1410"/>
      <c r="AB943" s="1411"/>
      <c r="AC943" s="1411"/>
      <c r="AD943" s="1411"/>
      <c r="AE943" s="1411"/>
      <c r="AF943" s="1412"/>
      <c r="AZ943" s="34"/>
      <c r="BA943" s="34"/>
      <c r="BB943" s="34"/>
      <c r="BC943" s="34"/>
    </row>
    <row r="944" spans="6:55" ht="13" customHeight="1">
      <c r="F944" s="1640" t="s">
        <v>2205</v>
      </c>
      <c r="G944" s="1641"/>
      <c r="H944" s="1641"/>
      <c r="I944" s="1641"/>
      <c r="J944" s="1641"/>
      <c r="K944" s="1641"/>
      <c r="L944" s="1641"/>
      <c r="M944" s="1641"/>
      <c r="N944" s="1641"/>
      <c r="O944" s="1641"/>
      <c r="P944" s="1641"/>
      <c r="Q944" s="1641"/>
      <c r="R944" s="1641"/>
      <c r="S944" s="1641"/>
      <c r="T944" s="1642"/>
      <c r="U944" s="1404" t="s">
        <v>591</v>
      </c>
      <c r="V944" s="1405"/>
      <c r="W944" s="1405"/>
      <c r="X944" s="1405"/>
      <c r="Y944" s="1405"/>
      <c r="Z944" s="1406"/>
      <c r="AA944" s="1410"/>
      <c r="AB944" s="1411"/>
      <c r="AC944" s="1411"/>
      <c r="AD944" s="1411"/>
      <c r="AE944" s="1411"/>
      <c r="AF944" s="1412"/>
      <c r="AZ944" s="34"/>
      <c r="BA944" s="34"/>
      <c r="BB944" s="34"/>
      <c r="BC944" s="34"/>
    </row>
    <row r="945" spans="1:55" ht="13" customHeight="1">
      <c r="F945" s="45" t="s">
        <v>806</v>
      </c>
      <c r="G945" s="5"/>
      <c r="H945" s="5"/>
      <c r="I945" s="5"/>
      <c r="J945" s="5"/>
      <c r="K945" s="5"/>
      <c r="L945" s="5"/>
      <c r="M945" s="5"/>
      <c r="N945" s="5"/>
      <c r="O945" s="5"/>
      <c r="P945" s="1404" t="s">
        <v>669</v>
      </c>
      <c r="Q945" s="1405"/>
      <c r="R945" s="1405"/>
      <c r="S945" s="1405"/>
      <c r="T945" s="1406"/>
      <c r="U945" s="1404" t="s">
        <v>591</v>
      </c>
      <c r="V945" s="1405"/>
      <c r="W945" s="1405"/>
      <c r="X945" s="1405"/>
      <c r="Y945" s="1405"/>
      <c r="Z945" s="1406"/>
      <c r="AA945" s="1410"/>
      <c r="AB945" s="1411"/>
      <c r="AC945" s="1411"/>
      <c r="AD945" s="1411"/>
      <c r="AE945" s="1411"/>
      <c r="AF945" s="1412"/>
      <c r="AZ945" s="34"/>
      <c r="BA945" s="34"/>
      <c r="BB945" s="34"/>
      <c r="BC945" s="34"/>
    </row>
    <row r="946" spans="1:55" ht="13" customHeight="1">
      <c r="F946" s="1602" t="s">
        <v>2192</v>
      </c>
      <c r="G946" s="1603"/>
      <c r="H946" s="1604"/>
      <c r="I946" s="1594" t="s">
        <v>333</v>
      </c>
      <c r="J946" s="1595"/>
      <c r="K946" s="1595"/>
      <c r="L946" s="1595"/>
      <c r="M946" s="1595"/>
      <c r="N946" s="1595"/>
      <c r="O946" s="1595"/>
      <c r="P946" s="1595"/>
      <c r="Q946" s="1595"/>
      <c r="R946" s="1595"/>
      <c r="S946" s="1595"/>
      <c r="T946" s="1596"/>
      <c r="U946" s="1404" t="s">
        <v>591</v>
      </c>
      <c r="V946" s="1405"/>
      <c r="W946" s="1405"/>
      <c r="X946" s="1405"/>
      <c r="Y946" s="1405"/>
      <c r="Z946" s="1406"/>
      <c r="AA946" s="1410"/>
      <c r="AB946" s="1411"/>
      <c r="AC946" s="1411"/>
      <c r="AD946" s="1411"/>
      <c r="AE946" s="1411"/>
      <c r="AF946" s="1412"/>
      <c r="AZ946" s="34"/>
      <c r="BA946" s="34"/>
      <c r="BB946" s="34"/>
      <c r="BC946" s="34"/>
    </row>
    <row r="947" spans="1:55" ht="13" customHeight="1">
      <c r="F947" s="45" t="s">
        <v>86</v>
      </c>
      <c r="G947" s="48"/>
      <c r="H947" s="48"/>
      <c r="I947" s="1594" t="s">
        <v>333</v>
      </c>
      <c r="J947" s="1595"/>
      <c r="K947" s="1595"/>
      <c r="L947" s="1595"/>
      <c r="M947" s="1595"/>
      <c r="N947" s="1595"/>
      <c r="O947" s="1595"/>
      <c r="P947" s="1595"/>
      <c r="Q947" s="1595"/>
      <c r="R947" s="1595"/>
      <c r="S947" s="1595"/>
      <c r="T947" s="1596"/>
      <c r="U947" s="1404" t="s">
        <v>591</v>
      </c>
      <c r="V947" s="1405"/>
      <c r="W947" s="1405"/>
      <c r="X947" s="1405"/>
      <c r="Y947" s="1405"/>
      <c r="Z947" s="1406"/>
      <c r="AA947" s="1410"/>
      <c r="AB947" s="1411"/>
      <c r="AC947" s="1411"/>
      <c r="AD947" s="1411"/>
      <c r="AE947" s="1411"/>
      <c r="AF947" s="1412"/>
      <c r="AZ947" s="34"/>
      <c r="BA947" s="34"/>
      <c r="BB947" s="34"/>
      <c r="BC947" s="34"/>
    </row>
    <row r="948" spans="1:55" ht="13" customHeight="1">
      <c r="F948" s="45" t="s">
        <v>10</v>
      </c>
      <c r="G948" s="48"/>
      <c r="H948" s="48"/>
      <c r="I948" s="1537" t="s">
        <v>2613</v>
      </c>
      <c r="J948" s="1538"/>
      <c r="K948" s="1538"/>
      <c r="L948" s="1538"/>
      <c r="M948" s="1538"/>
      <c r="N948" s="1538"/>
      <c r="O948" s="1538"/>
      <c r="P948" s="1538"/>
      <c r="Q948" s="1538"/>
      <c r="R948" s="1538"/>
      <c r="S948" s="1538"/>
      <c r="T948" s="1539"/>
      <c r="U948" s="1404" t="s">
        <v>545</v>
      </c>
      <c r="V948" s="1405"/>
      <c r="W948" s="1405"/>
      <c r="X948" s="1405"/>
      <c r="Y948" s="1405"/>
      <c r="Z948" s="1406"/>
      <c r="AA948" s="1410">
        <v>5000000</v>
      </c>
      <c r="AB948" s="1411"/>
      <c r="AC948" s="1411"/>
      <c r="AD948" s="1411"/>
      <c r="AE948" s="1411"/>
      <c r="AF948" s="1412"/>
      <c r="AV948" s="2"/>
      <c r="AW948" s="2"/>
      <c r="AX948" s="2"/>
      <c r="AY948" s="2"/>
      <c r="AZ948" s="34"/>
      <c r="BA948" s="34"/>
      <c r="BB948" s="34"/>
      <c r="BC948" s="34"/>
    </row>
    <row r="949" spans="1:55" ht="13" customHeight="1">
      <c r="F949" s="47" t="s">
        <v>169</v>
      </c>
      <c r="G949" s="48"/>
      <c r="H949" s="48"/>
      <c r="I949" s="1537" t="s">
        <v>2695</v>
      </c>
      <c r="J949" s="1538"/>
      <c r="K949" s="1538"/>
      <c r="L949" s="1538"/>
      <c r="M949" s="1538"/>
      <c r="N949" s="1538"/>
      <c r="O949" s="1538"/>
      <c r="P949" s="1538"/>
      <c r="Q949" s="1538"/>
      <c r="R949" s="1538"/>
      <c r="S949" s="1538"/>
      <c r="T949" s="1539"/>
      <c r="U949" s="1404" t="s">
        <v>545</v>
      </c>
      <c r="V949" s="1405"/>
      <c r="W949" s="1405"/>
      <c r="X949" s="1405"/>
      <c r="Y949" s="1405"/>
      <c r="Z949" s="1406"/>
      <c r="AA949" s="1410">
        <v>2500000</v>
      </c>
      <c r="AB949" s="1411"/>
      <c r="AC949" s="1411"/>
      <c r="AD949" s="1411"/>
      <c r="AE949" s="1411"/>
      <c r="AF949" s="1412"/>
      <c r="AU949" s="2"/>
      <c r="AZ949" s="34"/>
      <c r="BA949" s="34"/>
      <c r="BB949" s="34"/>
      <c r="BC949" s="34"/>
    </row>
    <row r="950" spans="1:55" ht="13" customHeight="1">
      <c r="F950" s="47" t="s">
        <v>169</v>
      </c>
      <c r="G950" s="48"/>
      <c r="H950" s="48"/>
      <c r="I950" s="1537" t="s">
        <v>2719</v>
      </c>
      <c r="J950" s="1538"/>
      <c r="K950" s="1538"/>
      <c r="L950" s="1538"/>
      <c r="M950" s="1538"/>
      <c r="N950" s="1538"/>
      <c r="O950" s="1538"/>
      <c r="P950" s="1538"/>
      <c r="Q950" s="1538"/>
      <c r="R950" s="1538"/>
      <c r="S950" s="1538"/>
      <c r="T950" s="1539"/>
      <c r="U950" s="1404" t="s">
        <v>545</v>
      </c>
      <c r="V950" s="1405"/>
      <c r="W950" s="1405"/>
      <c r="X950" s="1405"/>
      <c r="Y950" s="1405"/>
      <c r="Z950" s="1406"/>
      <c r="AA950" s="1410">
        <v>3000000</v>
      </c>
      <c r="AB950" s="1411"/>
      <c r="AC950" s="1411"/>
      <c r="AD950" s="1411"/>
      <c r="AE950" s="1411"/>
      <c r="AF950" s="1412"/>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v>45731</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t="s">
        <v>2717</v>
      </c>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880</v>
      </c>
      <c r="D957" s="5"/>
      <c r="E957" s="5"/>
      <c r="J957" s="1554" t="s">
        <v>2720</v>
      </c>
      <c r="K957" s="1555"/>
      <c r="L957" s="1555"/>
      <c r="M957" s="1555"/>
      <c r="N957" s="1555"/>
      <c r="O957" s="1555"/>
      <c r="P957" s="1555"/>
      <c r="Q957" s="1555"/>
      <c r="R957" s="1555"/>
      <c r="S957" s="1556"/>
      <c r="U957" s="66" t="s">
        <v>880</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v>0.33</v>
      </c>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v>42</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10">
        <v>1267392</v>
      </c>
      <c r="N960" s="1411"/>
      <c r="O960" s="1411"/>
      <c r="P960" s="1411"/>
      <c r="Q960" s="1411"/>
      <c r="R960" s="1411"/>
      <c r="S960" s="1412"/>
      <c r="U960" s="66" t="s">
        <v>15</v>
      </c>
      <c r="V960" s="5"/>
      <c r="W960" s="5"/>
      <c r="X960" s="5"/>
      <c r="Y960" s="5"/>
      <c r="Z960" s="5"/>
      <c r="AA960" s="5"/>
      <c r="AB960" s="5"/>
      <c r="AC960" s="5"/>
      <c r="AD960" s="46"/>
      <c r="AE960" s="1410"/>
      <c r="AF960" s="1411"/>
      <c r="AG960" s="1411"/>
      <c r="AH960" s="1411"/>
      <c r="AI960" s="1411"/>
      <c r="AJ960" s="1411"/>
      <c r="AK960" s="1412"/>
      <c r="AV960" s="2"/>
      <c r="AW960" s="2"/>
      <c r="AX960" s="2"/>
      <c r="AY960" s="2"/>
      <c r="AZ960" s="34"/>
      <c r="BA960" s="34"/>
      <c r="BB960" s="34"/>
      <c r="BC960" s="34"/>
    </row>
    <row r="961" spans="1:64" ht="13" customHeight="1">
      <c r="C961" s="66" t="s">
        <v>16</v>
      </c>
      <c r="D961" s="5"/>
      <c r="E961" s="5"/>
      <c r="F961" s="5"/>
      <c r="G961" s="5"/>
      <c r="H961" s="5"/>
      <c r="I961" s="5"/>
      <c r="J961" s="5"/>
      <c r="K961" s="5"/>
      <c r="L961" s="46"/>
      <c r="M961" s="1410">
        <f>M960*20</f>
        <v>25347840</v>
      </c>
      <c r="N961" s="1411"/>
      <c r="O961" s="1411"/>
      <c r="P961" s="1411"/>
      <c r="Q961" s="1411"/>
      <c r="R961" s="1411"/>
      <c r="S961" s="1412"/>
      <c r="U961" s="66" t="s">
        <v>16</v>
      </c>
      <c r="V961" s="5"/>
      <c r="W961" s="5"/>
      <c r="X961" s="5"/>
      <c r="Y961" s="5"/>
      <c r="Z961" s="5"/>
      <c r="AA961" s="5"/>
      <c r="AB961" s="5"/>
      <c r="AC961" s="5"/>
      <c r="AD961" s="46"/>
      <c r="AE961" s="1410"/>
      <c r="AF961" s="1411"/>
      <c r="AG961" s="1411"/>
      <c r="AH961" s="1411"/>
      <c r="AI961" s="1411"/>
      <c r="AJ961" s="1411"/>
      <c r="AK961" s="1412"/>
      <c r="AV961" s="2"/>
      <c r="AW961" s="2"/>
      <c r="AX961" s="2"/>
      <c r="AY961" s="2"/>
      <c r="AZ961" s="34"/>
      <c r="BB961" s="34"/>
      <c r="BC961" s="34"/>
    </row>
    <row r="962" spans="1:64" ht="13" customHeight="1">
      <c r="C962" s="121" t="s">
        <v>1661</v>
      </c>
      <c r="D962" s="5"/>
      <c r="E962" s="5"/>
      <c r="F962" s="5"/>
      <c r="G962" s="5"/>
      <c r="H962" s="5"/>
      <c r="I962" s="5"/>
      <c r="J962" s="5"/>
      <c r="K962" s="5"/>
      <c r="L962" s="46"/>
      <c r="M962" s="1407">
        <v>20</v>
      </c>
      <c r="N962" s="1408"/>
      <c r="O962" s="1408"/>
      <c r="P962" s="1408"/>
      <c r="Q962" s="1408"/>
      <c r="R962" s="1408"/>
      <c r="S962" s="1409"/>
      <c r="U962" s="121" t="s">
        <v>1661</v>
      </c>
      <c r="V962" s="5"/>
      <c r="W962" s="5"/>
      <c r="X962" s="5"/>
      <c r="Y962" s="5"/>
      <c r="Z962" s="5"/>
      <c r="AA962" s="5"/>
      <c r="AB962" s="5"/>
      <c r="AC962" s="5"/>
      <c r="AD962" s="46"/>
      <c r="AE962" s="1407"/>
      <c r="AF962" s="1408"/>
      <c r="AG962" s="1408"/>
      <c r="AH962" s="1408"/>
      <c r="AI962" s="1408"/>
      <c r="AJ962" s="1408"/>
      <c r="AK962" s="1409"/>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669</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3"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3"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9" t="s">
        <v>633</v>
      </c>
      <c r="E986" s="1390"/>
      <c r="F986" s="1390"/>
      <c r="G986" s="1390"/>
      <c r="H986" s="1390"/>
      <c r="I986" s="1390"/>
      <c r="J986" s="1390"/>
      <c r="K986" s="1390"/>
      <c r="L986" s="1390"/>
      <c r="M986" s="1390"/>
      <c r="N986" s="1390"/>
      <c r="O986" s="1390"/>
      <c r="P986" s="1390"/>
      <c r="Q986" s="1391"/>
      <c r="R986" s="1553">
        <f>IF(ISNA(IF($CU$122="4%",(INDEX($CS$160:$CW$217,MATCH($DG$122,$CR$160:$CR$217,0),MATCH(D986,$CS$159:$CW$159,0))),(INDEX($CZ$160:$DD$217,MATCH($DG$122,$CY$160:$CY$217,0),MATCH(D986,$CZ$159:$DD$159,0))))),0,IF($CU$122="4%",(INDEX($CS$160:$CW$217,MATCH($DG$122,$CR$160:$CR$217,0),MATCH(D986,$CS$159:$CW$159,0))),(INDEX($CZ$160:$DD$217,MATCH($DG$122,$CY$160:$CY$217,0),MATCH(D986,$CZ$159:$DD$159,0)))))</f>
        <v>532060</v>
      </c>
      <c r="S986" s="1553"/>
      <c r="T986" s="1553"/>
      <c r="U986" s="1553"/>
      <c r="V986" s="1553"/>
      <c r="W986" s="1553"/>
      <c r="X986" s="1553"/>
      <c r="Y986" s="1553"/>
      <c r="Z986" s="1553"/>
      <c r="AA986" s="1553"/>
      <c r="AB986" s="1392">
        <f>CP802</f>
        <v>24</v>
      </c>
      <c r="AC986" s="1393"/>
      <c r="AD986" s="1393"/>
      <c r="AE986" s="1393"/>
      <c r="AF986" s="1393"/>
      <c r="AG986" s="1393"/>
      <c r="AH986" s="1393"/>
      <c r="AI986" s="1394"/>
      <c r="AJ986" s="1489">
        <f>IF(ISERROR((R986*AB986)),0,(R986*AB986))</f>
        <v>12769440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9" t="s">
        <v>324</v>
      </c>
      <c r="E987" s="1390"/>
      <c r="F987" s="1390"/>
      <c r="G987" s="1390"/>
      <c r="H987" s="1390"/>
      <c r="I987" s="1390"/>
      <c r="J987" s="1390"/>
      <c r="K987" s="1390"/>
      <c r="L987" s="1390"/>
      <c r="M987" s="1390"/>
      <c r="N987" s="1390"/>
      <c r="O987" s="1390"/>
      <c r="P987" s="1390"/>
      <c r="Q987" s="1391"/>
      <c r="R987" s="1553">
        <f>IF(ISNA(IF($CU$122="4%",(INDEX($CS$160:$CW$217,MATCH($DG$122,$CR$160:$CR$217,0),MATCH(D987,$CS$159:$CW$159,0))),(INDEX($CZ$160:$DD$217,MATCH($DG$122,$CY$160:$CY$217,0),MATCH(D987,$CZ$159:$DD$159,0))))),0,IF($CU$122="4%",(INDEX($CS$160:$CW$217,MATCH($DG$122,$CR$160:$CR$217,0),MATCH(D987,$CS$159:$CW$159,0))),(INDEX($CZ$160:$DD$217,MATCH($DG$122,$CY$160:$CY$217,0),MATCH(D987,$CZ$159:$DD$159,0)))))</f>
        <v>613460</v>
      </c>
      <c r="S987" s="1553"/>
      <c r="T987" s="1553"/>
      <c r="U987" s="1553"/>
      <c r="V987" s="1553"/>
      <c r="W987" s="1553"/>
      <c r="X987" s="1553"/>
      <c r="Y987" s="1553"/>
      <c r="Z987" s="1553"/>
      <c r="AA987" s="1553"/>
      <c r="AB987" s="1392">
        <f>CU802</f>
        <v>40</v>
      </c>
      <c r="AC987" s="1393"/>
      <c r="AD987" s="1393"/>
      <c r="AE987" s="1393"/>
      <c r="AF987" s="1393"/>
      <c r="AG987" s="1393"/>
      <c r="AH987" s="1393"/>
      <c r="AI987" s="1394"/>
      <c r="AJ987" s="1489">
        <f>IF(ISERROR((R987*AB987)),0,(R987*AB987))</f>
        <v>24538400</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9" t="s">
        <v>163</v>
      </c>
      <c r="E988" s="1390"/>
      <c r="F988" s="1390"/>
      <c r="G988" s="1390"/>
      <c r="H988" s="1390"/>
      <c r="I988" s="1390"/>
      <c r="J988" s="1390"/>
      <c r="K988" s="1390"/>
      <c r="L988" s="1390"/>
      <c r="M988" s="1390"/>
      <c r="N988" s="1390"/>
      <c r="O988" s="1390"/>
      <c r="P988" s="1390"/>
      <c r="Q988" s="1391"/>
      <c r="R988" s="1553">
        <f>IF(ISNA(IF($CU$122="4%",(INDEX($CS$160:$CW$217,MATCH($DG$122,$CR$160:$CR$217,0),MATCH(D988,$CS$159:$CW$159,0))),(INDEX($CZ$160:$DD$217,MATCH($DG$122,$CY$160:$CY$217,0),MATCH(D988,$CZ$159:$DD$159,0))))),0,IF($CU$122="4%",(INDEX($CS$160:$CW$217,MATCH($DG$122,$CR$160:$CR$217,0),MATCH(D988,$CS$159:$CW$159,0))),(INDEX($CZ$160:$DD$217,MATCH($DG$122,$CY$160:$CY$217,0),MATCH(D988,$CZ$159:$DD$159,0)))))</f>
        <v>740000</v>
      </c>
      <c r="S988" s="1553"/>
      <c r="T988" s="1553"/>
      <c r="U988" s="1553"/>
      <c r="V988" s="1553"/>
      <c r="W988" s="1553"/>
      <c r="X988" s="1553"/>
      <c r="Y988" s="1553"/>
      <c r="Z988" s="1553"/>
      <c r="AA988" s="1553"/>
      <c r="AB988" s="1392">
        <f>CZ802</f>
        <v>33</v>
      </c>
      <c r="AC988" s="1393"/>
      <c r="AD988" s="1393"/>
      <c r="AE988" s="1393"/>
      <c r="AF988" s="1393"/>
      <c r="AG988" s="1393"/>
      <c r="AH988" s="1393"/>
      <c r="AI988" s="1394"/>
      <c r="AJ988" s="1489">
        <f>IF(ISERROR((R988*AB988)),0,(R988*AB988))</f>
        <v>24420000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9" t="s">
        <v>164</v>
      </c>
      <c r="E989" s="1390"/>
      <c r="F989" s="1390"/>
      <c r="G989" s="1390"/>
      <c r="H989" s="1390"/>
      <c r="I989" s="1390"/>
      <c r="J989" s="1390"/>
      <c r="K989" s="1390"/>
      <c r="L989" s="1390"/>
      <c r="M989" s="1390"/>
      <c r="N989" s="1390"/>
      <c r="O989" s="1390"/>
      <c r="P989" s="1390"/>
      <c r="Q989" s="1391"/>
      <c r="R989" s="1553">
        <f>IF(ISNA(IF($CU$122="4%",(INDEX($CS$160:$CW$217,MATCH($DG$122,$CR$160:$CR$217,0),MATCH(D989,$CS$159:$CW$159,0))),(INDEX($CZ$160:$DD$217,MATCH($DG$122,$CY$160:$CY$217,0),MATCH(D989,$CZ$159:$DD$159,0))))),0,IF($CU$122="4%",(INDEX($CS$160:$CW$217,MATCH($DG$122,$CR$160:$CR$217,0),MATCH(D989,$CS$159:$CW$159,0))),(INDEX($CZ$160:$DD$217,MATCH($DG$122,$CY$160:$CY$217,0),MATCH(D989,$CZ$159:$DD$159,0)))))</f>
        <v>947200</v>
      </c>
      <c r="S989" s="1553"/>
      <c r="T989" s="1553"/>
      <c r="U989" s="1553"/>
      <c r="V989" s="1553"/>
      <c r="W989" s="1553"/>
      <c r="X989" s="1553"/>
      <c r="Y989" s="1553"/>
      <c r="Z989" s="1553"/>
      <c r="AA989" s="1553"/>
      <c r="AB989" s="1392">
        <f>DE802</f>
        <v>33</v>
      </c>
      <c r="AC989" s="1393"/>
      <c r="AD989" s="1393"/>
      <c r="AE989" s="1393"/>
      <c r="AF989" s="1393"/>
      <c r="AG989" s="1393"/>
      <c r="AH989" s="1393"/>
      <c r="AI989" s="1394"/>
      <c r="AJ989" s="1489">
        <f>IF(ISERROR((R989*AB989)),0,(R989*AB989))</f>
        <v>31257600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9" t="s">
        <v>460</v>
      </c>
      <c r="E990" s="1390"/>
      <c r="F990" s="1390"/>
      <c r="G990" s="1390"/>
      <c r="H990" s="1390"/>
      <c r="I990" s="1390"/>
      <c r="J990" s="1390"/>
      <c r="K990" s="1390"/>
      <c r="L990" s="1390"/>
      <c r="M990" s="1390"/>
      <c r="N990" s="1390"/>
      <c r="O990" s="1390"/>
      <c r="P990" s="1390"/>
      <c r="Q990" s="1391"/>
      <c r="R990" s="1553">
        <f>IF(ISNA(IF($CU$122="4%",(INDEX($CS$160:$CW$217,MATCH($DG$122,$CR$160:$CR$217,0),MATCH(D990,$CS$159:$CW$159,0))),(INDEX($CZ$160:$DD$217,MATCH($DG$122,$CY$160:$CY$217,0),MATCH(D990,$CZ$159:$DD$159,0))))),0,IF($CU$122="4%",(INDEX($CS$160:$CW$217,MATCH($DG$122,$CR$160:$CR$217,0),MATCH(D990,$CS$159:$CW$159,0))),(INDEX($CZ$160:$DD$217,MATCH($DG$122,$CY$160:$CY$217,0),MATCH(D990,$CZ$159:$DD$159,0)))))</f>
        <v>1055240</v>
      </c>
      <c r="S990" s="1553"/>
      <c r="T990" s="1553"/>
      <c r="U990" s="1553"/>
      <c r="V990" s="1553"/>
      <c r="W990" s="1553"/>
      <c r="X990" s="1553"/>
      <c r="Y990" s="1553"/>
      <c r="Z990" s="1553"/>
      <c r="AA990" s="1553"/>
      <c r="AB990" s="1392">
        <f>DO802+DJ802</f>
        <v>0</v>
      </c>
      <c r="AC990" s="1393"/>
      <c r="AD990" s="1393"/>
      <c r="AE990" s="1393"/>
      <c r="AF990" s="1393"/>
      <c r="AG990" s="1393"/>
      <c r="AH990" s="1393"/>
      <c r="AI990" s="1394"/>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791</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2">
        <f>SUM(AB986:AI990)</f>
        <v>130</v>
      </c>
      <c r="AC991" s="1393"/>
      <c r="AD991" s="1393"/>
      <c r="AE991" s="1393"/>
      <c r="AF991" s="1393"/>
      <c r="AG991" s="1393"/>
      <c r="AH991" s="1393"/>
      <c r="AI991" s="1394"/>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92985440</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545</v>
      </c>
      <c r="AH994" s="1502"/>
      <c r="AI994" s="87"/>
      <c r="AJ994" s="1395">
        <f>ROUND(IF(AND(AG994="yes",D1000&gt;0),AJ992*0.2,0),0)</f>
        <v>18597088</v>
      </c>
      <c r="AK994" s="1396"/>
      <c r="AL994" s="1396"/>
      <c r="AM994" s="1396"/>
      <c r="AN994" s="1396"/>
      <c r="AO994" s="1396"/>
      <c r="AP994" s="1396"/>
      <c r="AQ994" s="1397"/>
      <c r="AR994" s="68"/>
      <c r="AS994" s="68"/>
      <c r="AT994" s="68"/>
      <c r="AU994" s="68"/>
      <c r="AV994" s="68"/>
      <c r="AW994" s="68"/>
      <c r="AX994" s="68"/>
      <c r="AY994" s="68"/>
      <c r="AZ994" s="34"/>
      <c r="BA994" s="34"/>
      <c r="BB994" s="34"/>
      <c r="BC994" s="34"/>
    </row>
    <row r="995" spans="1:55" ht="13"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8"/>
      <c r="AK995" s="1399"/>
      <c r="AL995" s="1399"/>
      <c r="AM995" s="1399"/>
      <c r="AN995" s="1399"/>
      <c r="AO995" s="1399"/>
      <c r="AP995" s="1399"/>
      <c r="AQ995" s="1400"/>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8"/>
      <c r="AK996" s="1399"/>
      <c r="AL996" s="1399"/>
      <c r="AM996" s="1399"/>
      <c r="AN996" s="1399"/>
      <c r="AO996" s="1399"/>
      <c r="AP996" s="1399"/>
      <c r="AQ996" s="1400"/>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8"/>
      <c r="AK997" s="1399"/>
      <c r="AL997" s="1399"/>
      <c r="AM997" s="1399"/>
      <c r="AN997" s="1399"/>
      <c r="AO997" s="1399"/>
      <c r="AP997" s="1399"/>
      <c r="AQ997" s="1400"/>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8"/>
      <c r="AK998" s="1399"/>
      <c r="AL998" s="1399"/>
      <c r="AM998" s="1399"/>
      <c r="AN998" s="1399"/>
      <c r="AO998" s="1399"/>
      <c r="AP998" s="1399"/>
      <c r="AQ998" s="1400"/>
      <c r="AR998" s="68"/>
      <c r="AS998" s="68"/>
      <c r="AT998" s="68"/>
      <c r="AU998" s="68"/>
      <c r="AV998" s="68"/>
      <c r="AW998" s="68"/>
      <c r="AX998" s="68"/>
      <c r="AY998" s="68"/>
      <c r="AZ998" s="34"/>
      <c r="BA998" s="34"/>
      <c r="BB998" s="34"/>
      <c r="BC998" s="34"/>
    </row>
    <row r="999" spans="1:55" ht="13"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8"/>
      <c r="AK999" s="1399"/>
      <c r="AL999" s="1399"/>
      <c r="AM999" s="1399"/>
      <c r="AN999" s="1399"/>
      <c r="AO999" s="1399"/>
      <c r="AP999" s="1399"/>
      <c r="AQ999" s="1400"/>
      <c r="AR999" s="68"/>
      <c r="AS999" s="68"/>
      <c r="AT999" s="68"/>
      <c r="AU999" s="68"/>
      <c r="AV999" s="68"/>
      <c r="AW999" s="68"/>
      <c r="AX999" s="68"/>
      <c r="AY999" s="68"/>
      <c r="AZ999" s="34"/>
      <c r="BA999" s="34"/>
      <c r="BB999" s="34"/>
      <c r="BC999" s="34"/>
    </row>
    <row r="1000" spans="1:55" ht="13" customHeight="1">
      <c r="A1000" s="14"/>
      <c r="B1000" s="257"/>
      <c r="C1000" s="256"/>
      <c r="D1000" s="1611" t="s">
        <v>2727</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1"/>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row>
    <row r="1001" spans="1:55" ht="13"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5">
        <f>ROUND(IF(AG1001="yes",AJ992*0.05,0),0)</f>
        <v>0</v>
      </c>
      <c r="AK1001" s="1396"/>
      <c r="AL1001" s="1396"/>
      <c r="AM1001" s="1396"/>
      <c r="AN1001" s="1396"/>
      <c r="AO1001" s="1396"/>
      <c r="AP1001" s="1396"/>
      <c r="AQ1001" s="1397"/>
      <c r="AR1001" s="68"/>
      <c r="AS1001" s="68"/>
      <c r="AT1001" s="68"/>
      <c r="AU1001" s="68"/>
      <c r="AV1001" s="68"/>
      <c r="AW1001" s="68"/>
      <c r="AX1001" s="68"/>
      <c r="AY1001" s="68"/>
      <c r="AZ1001" s="34"/>
      <c r="BA1001" s="34"/>
      <c r="BB1001" s="34"/>
      <c r="BC1001" s="34"/>
    </row>
    <row r="1002" spans="1:55" ht="13"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8"/>
      <c r="AK1002" s="1399"/>
      <c r="AL1002" s="1399"/>
      <c r="AM1002" s="1399"/>
      <c r="AN1002" s="1399"/>
      <c r="AO1002" s="1399"/>
      <c r="AP1002" s="1399"/>
      <c r="AQ1002" s="1400"/>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8"/>
      <c r="AK1003" s="1399"/>
      <c r="AL1003" s="1399"/>
      <c r="AM1003" s="1399"/>
      <c r="AN1003" s="1399"/>
      <c r="AO1003" s="1399"/>
      <c r="AP1003" s="1399"/>
      <c r="AQ1003" s="1400"/>
      <c r="AR1003" s="68"/>
      <c r="AS1003" s="68"/>
      <c r="AT1003" s="68"/>
      <c r="AU1003" s="68"/>
      <c r="AV1003" s="68"/>
      <c r="AW1003" s="68"/>
      <c r="AX1003" s="68"/>
      <c r="AY1003" s="914">
        <f>G753+O797</f>
        <v>128</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8"/>
      <c r="AK1004" s="1399"/>
      <c r="AL1004" s="1399"/>
      <c r="AM1004" s="1399"/>
      <c r="AN1004" s="1399"/>
      <c r="AO1004" s="1399"/>
      <c r="AP1004" s="1399"/>
      <c r="AQ1004" s="1400"/>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8"/>
      <c r="AK1005" s="1399"/>
      <c r="AL1005" s="1399"/>
      <c r="AM1005" s="1399"/>
      <c r="AN1005" s="1399"/>
      <c r="AO1005" s="1399"/>
      <c r="AP1005" s="1399"/>
      <c r="AQ1005" s="1400"/>
      <c r="AR1005" s="68"/>
      <c r="AS1005" s="68"/>
      <c r="AT1005" s="68"/>
      <c r="AU1005" s="68"/>
      <c r="AV1005" s="68"/>
      <c r="AW1005" s="68"/>
      <c r="AX1005" s="68"/>
      <c r="AY1005" s="913">
        <f>ROUNDDOWN(X1048/I1048,2)</f>
        <v>0.3</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1"/>
      <c r="AK1006" s="1402"/>
      <c r="AL1006" s="1402"/>
      <c r="AM1006" s="1402"/>
      <c r="AN1006" s="1402"/>
      <c r="AO1006" s="1402"/>
      <c r="AP1006" s="1402"/>
      <c r="AQ1006" s="1403"/>
      <c r="AR1006" s="68"/>
      <c r="AS1006" s="68"/>
      <c r="AT1006" s="68"/>
      <c r="AU1006" s="68"/>
      <c r="AV1006" s="68"/>
      <c r="AW1006" s="68"/>
      <c r="AX1006" s="68"/>
      <c r="AY1006" s="913">
        <f>ROUNDDOWN(X1052/I1052,2)</f>
        <v>0.5</v>
      </c>
      <c r="AZ1006" s="34"/>
      <c r="BB1006" s="34"/>
    </row>
    <row r="1007" spans="1:55" ht="13"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545</v>
      </c>
      <c r="AH1007" s="1504"/>
      <c r="AI1007" s="87"/>
      <c r="AJ1007" s="1395">
        <f>ROUND(IF(AG1007="yes",AJ992*0.1,0),0)</f>
        <v>9298544</v>
      </c>
      <c r="AK1007" s="1396"/>
      <c r="AL1007" s="1396"/>
      <c r="AM1007" s="1396"/>
      <c r="AN1007" s="1396"/>
      <c r="AO1007" s="1396"/>
      <c r="AP1007" s="1396"/>
      <c r="AQ1007" s="1397"/>
      <c r="AR1007" s="68"/>
      <c r="AS1007" s="68"/>
      <c r="AT1007" s="68"/>
      <c r="AU1007" s="68"/>
      <c r="AV1007" s="68"/>
      <c r="AW1007" s="68"/>
      <c r="AX1007" s="68"/>
      <c r="BB1007" s="34"/>
    </row>
    <row r="1008" spans="1:55" ht="13"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8"/>
      <c r="AK1008" s="1399"/>
      <c r="AL1008" s="1399"/>
      <c r="AM1008" s="1399"/>
      <c r="AN1008" s="1399"/>
      <c r="AO1008" s="1399"/>
      <c r="AP1008" s="1399"/>
      <c r="AQ1008" s="1400"/>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8"/>
      <c r="AK1009" s="1399"/>
      <c r="AL1009" s="1399"/>
      <c r="AM1009" s="1399"/>
      <c r="AN1009" s="1399"/>
      <c r="AO1009" s="1399"/>
      <c r="AP1009" s="1399"/>
      <c r="AQ1009" s="1400"/>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1"/>
      <c r="AK1010" s="1402"/>
      <c r="AL1010" s="1402"/>
      <c r="AM1010" s="1402"/>
      <c r="AN1010" s="1402"/>
      <c r="AO1010" s="1402"/>
      <c r="AP1010" s="1402"/>
      <c r="AQ1010" s="1403"/>
      <c r="AR1010" s="68"/>
      <c r="AS1010" s="68"/>
      <c r="AT1010" s="68"/>
      <c r="AU1010" s="68"/>
      <c r="AV1010" s="68"/>
      <c r="AW1010" s="68"/>
      <c r="AX1010" s="68"/>
    </row>
    <row r="1011" spans="1:52" ht="13"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5">
        <f>ROUND(IF(AG1011="yes",AJ992*0.02,0),0)</f>
        <v>0</v>
      </c>
      <c r="AK1011" s="1396"/>
      <c r="AL1011" s="1396"/>
      <c r="AM1011" s="1396"/>
      <c r="AN1011" s="1396"/>
      <c r="AO1011" s="1396"/>
      <c r="AP1011" s="1396"/>
      <c r="AQ1011" s="1397"/>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1"/>
      <c r="AK1012" s="1402"/>
      <c r="AL1012" s="1402"/>
      <c r="AM1012" s="1402"/>
      <c r="AN1012" s="1402"/>
      <c r="AO1012" s="1402"/>
      <c r="AP1012" s="1402"/>
      <c r="AQ1012" s="1403"/>
      <c r="AR1012" s="68"/>
      <c r="AS1012" s="68"/>
      <c r="AT1012" s="68"/>
      <c r="AU1012" s="68"/>
      <c r="AV1012" s="68"/>
      <c r="AW1012" s="68"/>
      <c r="AX1012" s="3" t="s">
        <v>1841</v>
      </c>
      <c r="AZ1012" s="3" t="s">
        <v>2608</v>
      </c>
    </row>
    <row r="1013" spans="1:52" ht="13"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5">
        <f>ROUND(IF(AG1013="yes",AJ992*0.02,0),0)</f>
        <v>0</v>
      </c>
      <c r="AK1013" s="1396"/>
      <c r="AL1013" s="1396"/>
      <c r="AM1013" s="1396"/>
      <c r="AN1013" s="1396"/>
      <c r="AO1013" s="1396"/>
      <c r="AP1013" s="1396"/>
      <c r="AQ1013" s="1397"/>
      <c r="AR1013" s="68"/>
      <c r="AS1013" s="68"/>
      <c r="AT1013" s="68"/>
      <c r="AU1013" s="68"/>
      <c r="AV1013" s="68"/>
      <c r="AW1013" s="68"/>
      <c r="AX1013" s="3">
        <v>1</v>
      </c>
      <c r="AY1013" s="200">
        <f>IF((_xlfn.XLOOKUP(AX1013,$C$1065:$C$1103,$A$1065:$A$1103,"",0,1))="Yes",AZ1013,0)</f>
        <v>0.2</v>
      </c>
      <c r="AZ1013" s="1255">
        <v>0.2</v>
      </c>
    </row>
    <row r="1014" spans="1:52" ht="13"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2" t="str">
        <f>IF(AND(AG1013="yes",T212&lt;&gt;1),"The project may not be eligible for this boost","")</f>
        <v/>
      </c>
      <c r="AG1014" s="1383"/>
      <c r="AH1014" s="1383"/>
      <c r="AI1014" s="1384"/>
      <c r="AJ1014" s="1398"/>
      <c r="AK1014" s="1399"/>
      <c r="AL1014" s="1399"/>
      <c r="AM1014" s="1399"/>
      <c r="AN1014" s="1399"/>
      <c r="AO1014" s="1399"/>
      <c r="AP1014" s="1399"/>
      <c r="AQ1014" s="1400"/>
      <c r="AR1014" s="68"/>
      <c r="AS1014" s="68"/>
      <c r="AT1014" s="68"/>
      <c r="AU1014" s="68"/>
      <c r="AV1014" s="68"/>
      <c r="AW1014" s="68"/>
      <c r="AX1014" s="3">
        <v>2</v>
      </c>
      <c r="AY1014" s="200">
        <f t="shared" ref="AY1014:AY1023" si="54">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5"/>
      <c r="AG1015" s="1386"/>
      <c r="AH1015" s="1386"/>
      <c r="AI1015" s="1387"/>
      <c r="AJ1015" s="1401"/>
      <c r="AK1015" s="1402"/>
      <c r="AL1015" s="1402"/>
      <c r="AM1015" s="1402"/>
      <c r="AN1015" s="1402"/>
      <c r="AO1015" s="1402"/>
      <c r="AP1015" s="1402"/>
      <c r="AQ1015" s="1403"/>
      <c r="AR1015" s="68"/>
      <c r="AS1015" s="68"/>
      <c r="AT1015" s="68"/>
      <c r="AU1015" s="68"/>
      <c r="AV1015" s="68"/>
      <c r="AW1015" s="68"/>
      <c r="AX1015" s="3">
        <v>3</v>
      </c>
      <c r="AY1015" s="200">
        <f t="shared" si="54"/>
        <v>0</v>
      </c>
      <c r="AZ1015" s="1255">
        <v>0.05</v>
      </c>
    </row>
    <row r="1016" spans="1:52" ht="13"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5">
        <f>IF(AG1016="yes",AJ992*AY1024,0)</f>
        <v>0</v>
      </c>
      <c r="AK1016" s="1396"/>
      <c r="AL1016" s="1396"/>
      <c r="AM1016" s="1396"/>
      <c r="AN1016" s="1396"/>
      <c r="AO1016" s="1396"/>
      <c r="AP1016" s="1396"/>
      <c r="AQ1016" s="1397"/>
      <c r="AR1016" s="68"/>
      <c r="AS1016" s="68"/>
      <c r="AT1016" s="68"/>
      <c r="AU1016" s="68"/>
      <c r="AV1016" s="68"/>
      <c r="AW1016" s="68"/>
      <c r="AX1016" s="3">
        <v>4</v>
      </c>
      <c r="AY1016" s="200">
        <f t="shared" si="54"/>
        <v>0</v>
      </c>
      <c r="AZ1016" s="1255">
        <v>0.02</v>
      </c>
    </row>
    <row r="1017" spans="1:52" ht="13"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6" t="str">
        <f>IF(AND(AG1016="Yes",AY1024=0),AY1027,"")</f>
        <v/>
      </c>
      <c r="AG1017" s="1377"/>
      <c r="AH1017" s="1377"/>
      <c r="AI1017" s="1378"/>
      <c r="AJ1017" s="1398"/>
      <c r="AK1017" s="1399"/>
      <c r="AL1017" s="1399"/>
      <c r="AM1017" s="1399"/>
      <c r="AN1017" s="1399"/>
      <c r="AO1017" s="1399"/>
      <c r="AP1017" s="1399"/>
      <c r="AQ1017" s="1400"/>
      <c r="AR1017" s="68"/>
      <c r="AS1017" s="68"/>
      <c r="AT1017" s="68"/>
      <c r="AU1017" s="68"/>
      <c r="AV1017" s="68"/>
      <c r="AW1017" s="68"/>
      <c r="AX1017" s="3">
        <v>5</v>
      </c>
      <c r="AY1017" s="200">
        <f t="shared" si="54"/>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6"/>
      <c r="AG1018" s="1377"/>
      <c r="AH1018" s="1377"/>
      <c r="AI1018" s="1378"/>
      <c r="AJ1018" s="1398"/>
      <c r="AK1018" s="1399"/>
      <c r="AL1018" s="1399"/>
      <c r="AM1018" s="1399"/>
      <c r="AN1018" s="1399"/>
      <c r="AO1018" s="1399"/>
      <c r="AP1018" s="1399"/>
      <c r="AQ1018" s="1400"/>
      <c r="AR1018" s="68"/>
      <c r="AS1018" s="68"/>
      <c r="AT1018" s="68"/>
      <c r="AU1018" s="68"/>
      <c r="AV1018" s="68"/>
      <c r="AW1018" s="68"/>
      <c r="AX1018" s="3">
        <v>6</v>
      </c>
      <c r="AY1018" s="200">
        <f t="shared" si="54"/>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9"/>
      <c r="AG1019" s="1380"/>
      <c r="AH1019" s="1380"/>
      <c r="AI1019" s="1381"/>
      <c r="AJ1019" s="1401"/>
      <c r="AK1019" s="1402"/>
      <c r="AL1019" s="1402"/>
      <c r="AM1019" s="1402"/>
      <c r="AN1019" s="1402"/>
      <c r="AO1019" s="1402"/>
      <c r="AP1019" s="1402"/>
      <c r="AQ1019" s="1403"/>
      <c r="AR1019" s="68"/>
      <c r="AS1019" s="68"/>
      <c r="AT1019" s="68"/>
      <c r="AU1019" s="68"/>
      <c r="AV1019" s="68"/>
      <c r="AW1019" s="68"/>
      <c r="AX1019" s="3">
        <v>7</v>
      </c>
      <c r="AY1019" s="200">
        <f t="shared" si="54"/>
        <v>0</v>
      </c>
      <c r="AZ1019" s="1255">
        <v>0.01</v>
      </c>
    </row>
    <row r="1020" spans="1:52" ht="13"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5">
        <f>ROUND(IF(AND(AG1020="Yes",J1024&lt;&gt;"N/A",AF1023&lt;&gt;""),MIN(AF1023,(0.15*AJ992)),0),0)</f>
        <v>0</v>
      </c>
      <c r="AK1020" s="1396"/>
      <c r="AL1020" s="1396"/>
      <c r="AM1020" s="1396"/>
      <c r="AN1020" s="1396"/>
      <c r="AO1020" s="1396"/>
      <c r="AP1020" s="1396"/>
      <c r="AQ1020" s="1397"/>
      <c r="AR1020" s="68"/>
      <c r="AS1020" s="68"/>
      <c r="AT1020" s="68"/>
      <c r="AU1020" s="68"/>
      <c r="AV1020" s="68"/>
      <c r="AW1020" s="68"/>
      <c r="AX1020" s="3">
        <v>8</v>
      </c>
      <c r="AY1020" s="200">
        <f t="shared" si="54"/>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8"/>
      <c r="AK1021" s="1399"/>
      <c r="AL1021" s="1399"/>
      <c r="AM1021" s="1399"/>
      <c r="AN1021" s="1399"/>
      <c r="AO1021" s="1399"/>
      <c r="AP1021" s="1399"/>
      <c r="AQ1021" s="1400"/>
      <c r="AR1021" s="68"/>
      <c r="AS1021" s="68"/>
      <c r="AT1021" s="68"/>
      <c r="AU1021" s="68"/>
      <c r="AV1021" s="68"/>
      <c r="AW1021" s="68"/>
      <c r="AX1021" s="3">
        <v>9</v>
      </c>
      <c r="AY1021" s="200">
        <f t="shared" si="54"/>
        <v>0</v>
      </c>
      <c r="AZ1021" s="1255">
        <v>0.01</v>
      </c>
    </row>
    <row r="1022" spans="1:52" ht="13"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8"/>
      <c r="AK1022" s="1399"/>
      <c r="AL1022" s="1399"/>
      <c r="AM1022" s="1399"/>
      <c r="AN1022" s="1399"/>
      <c r="AO1022" s="1399"/>
      <c r="AP1022" s="1399"/>
      <c r="AQ1022" s="1400"/>
      <c r="AR1022" s="68"/>
      <c r="AS1022" s="68"/>
      <c r="AT1022" s="68"/>
      <c r="AU1022" s="68"/>
      <c r="AV1022" s="68"/>
      <c r="AW1022" s="68"/>
      <c r="AX1022" s="3">
        <v>10</v>
      </c>
      <c r="AY1022" s="200">
        <f t="shared" si="54"/>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8"/>
      <c r="AK1023" s="1399"/>
      <c r="AL1023" s="1399"/>
      <c r="AM1023" s="1399"/>
      <c r="AN1023" s="1399"/>
      <c r="AO1023" s="1399"/>
      <c r="AP1023" s="1399"/>
      <c r="AQ1023" s="1400"/>
      <c r="AR1023" s="68"/>
      <c r="AS1023" s="68"/>
      <c r="AT1023" s="68"/>
      <c r="AU1023" s="68"/>
      <c r="AV1023" s="68"/>
      <c r="AW1023" s="68"/>
      <c r="AX1023" s="3">
        <v>11</v>
      </c>
      <c r="AY1023" s="200">
        <f t="shared" si="54"/>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1"/>
      <c r="AK1024" s="1402"/>
      <c r="AL1024" s="1402"/>
      <c r="AM1024" s="1402"/>
      <c r="AN1024" s="1402"/>
      <c r="AO1024" s="1402"/>
      <c r="AP1024" s="1402"/>
      <c r="AQ1024" s="1403"/>
      <c r="AR1024" s="68"/>
      <c r="AS1024" s="68"/>
      <c r="AT1024" s="68"/>
      <c r="AU1024" s="68"/>
      <c r="AV1024" s="68"/>
      <c r="AW1024" s="68"/>
      <c r="AX1024" s="1032" t="s">
        <v>2607</v>
      </c>
      <c r="AY1024" s="201">
        <f>IF(SUM(AY1015:AY1023)&lt;=0.2,SUM(AY1015:AY1023),0.2)</f>
        <v>0</v>
      </c>
    </row>
    <row r="1025" spans="1:57" ht="13"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545</v>
      </c>
      <c r="AH1025" s="1504"/>
      <c r="AI1025" s="87"/>
      <c r="AJ1025" s="1395">
        <f>ROUND(IF(AG1025="Yes",AF1027,0),0)</f>
        <v>1137158</v>
      </c>
      <c r="AK1025" s="1396"/>
      <c r="AL1025" s="1396"/>
      <c r="AM1025" s="1396"/>
      <c r="AN1025" s="1396"/>
      <c r="AO1025" s="1396"/>
      <c r="AP1025" s="1396"/>
      <c r="AQ1025" s="1397"/>
      <c r="AR1025" s="68"/>
      <c r="AS1025" s="68"/>
      <c r="AT1025" s="68"/>
      <c r="AU1025" s="68"/>
      <c r="AV1025" s="68"/>
      <c r="AW1025" s="68"/>
      <c r="AX1025" s="68"/>
      <c r="AY1025" s="68"/>
    </row>
    <row r="1026" spans="1:57" ht="13"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8"/>
      <c r="AK1026" s="1399"/>
      <c r="AL1026" s="1399"/>
      <c r="AM1026" s="1399"/>
      <c r="AN1026" s="1399"/>
      <c r="AO1026" s="1399"/>
      <c r="AP1026" s="1399"/>
      <c r="AQ1026" s="1400"/>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f>'Sources and Uses Budget'!C85</f>
        <v>1137158</v>
      </c>
      <c r="AG1027" s="1557"/>
      <c r="AH1027" s="1557"/>
      <c r="AI1027" s="1557"/>
      <c r="AJ1027" s="1398"/>
      <c r="AK1027" s="1399"/>
      <c r="AL1027" s="1399"/>
      <c r="AM1027" s="1399"/>
      <c r="AN1027" s="1399"/>
      <c r="AO1027" s="1399"/>
      <c r="AP1027" s="1399"/>
      <c r="AQ1027" s="1400"/>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1"/>
      <c r="AK1028" s="1402"/>
      <c r="AL1028" s="1402"/>
      <c r="AM1028" s="1402"/>
      <c r="AN1028" s="1402"/>
      <c r="AO1028" s="1402"/>
      <c r="AP1028" s="1402"/>
      <c r="AQ1028" s="1403"/>
      <c r="AR1028" s="68"/>
      <c r="AS1028" s="68"/>
      <c r="AT1028" s="68"/>
      <c r="AU1028" s="68"/>
      <c r="AV1028" s="68"/>
      <c r="AW1028" s="68"/>
      <c r="AX1028" s="68"/>
      <c r="AY1028" s="68"/>
    </row>
    <row r="1029" spans="1:57" ht="13"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5">
        <f>ROUND(IF(AG1029="yes",(AJ992*0.1),0),0)</f>
        <v>9298544</v>
      </c>
      <c r="AK1029" s="1396"/>
      <c r="AL1029" s="1396"/>
      <c r="AM1029" s="1396"/>
      <c r="AN1029" s="1396"/>
      <c r="AO1029" s="1396"/>
      <c r="AP1029" s="1396"/>
      <c r="AQ1029" s="1397"/>
      <c r="AR1029" s="68"/>
      <c r="AS1029" s="68"/>
      <c r="AT1029" s="68"/>
      <c r="AU1029" s="68"/>
      <c r="AV1029" s="68"/>
      <c r="AW1029" s="68"/>
      <c r="AX1029" s="68"/>
      <c r="AY1029" s="68"/>
    </row>
    <row r="1030" spans="1:57" ht="13"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8"/>
      <c r="AK1030" s="1399"/>
      <c r="AL1030" s="1399"/>
      <c r="AM1030" s="1399"/>
      <c r="AN1030" s="1399"/>
      <c r="AO1030" s="1399"/>
      <c r="AP1030" s="1399"/>
      <c r="AQ1030" s="1400"/>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1"/>
      <c r="AK1031" s="1402"/>
      <c r="AL1031" s="1402"/>
      <c r="AM1031" s="1402"/>
      <c r="AN1031" s="1402"/>
      <c r="AO1031" s="1402"/>
      <c r="AP1031" s="1402"/>
      <c r="AQ1031" s="1403"/>
      <c r="AR1031" s="68"/>
      <c r="AS1031" s="68"/>
      <c r="AT1031" s="68"/>
      <c r="AU1031" s="68"/>
      <c r="AV1031" s="68"/>
      <c r="AW1031" s="68"/>
      <c r="AX1031" s="68"/>
      <c r="AY1031" s="68"/>
    </row>
    <row r="1032" spans="1:57" ht="13"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5">
        <f>ROUND(IF(AG1032="yes",(AJ992*0.15),0),0)</f>
        <v>0</v>
      </c>
      <c r="AK1032" s="1396"/>
      <c r="AL1032" s="1396"/>
      <c r="AM1032" s="1396"/>
      <c r="AN1032" s="1396"/>
      <c r="AO1032" s="1396"/>
      <c r="AP1032" s="1396"/>
      <c r="AQ1032" s="1397"/>
      <c r="AR1032" s="68"/>
      <c r="AS1032" s="68"/>
      <c r="AT1032" s="68"/>
      <c r="AU1032" s="68"/>
      <c r="AV1032" s="68"/>
      <c r="AW1032" s="68"/>
      <c r="AX1032" s="68"/>
      <c r="AY1032" s="68"/>
    </row>
    <row r="1033" spans="1:57" ht="13" customHeight="1">
      <c r="A1033" s="14"/>
      <c r="B1033" s="73"/>
      <c r="C1033" s="74"/>
      <c r="D1033" s="1517"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8"/>
      <c r="AK1033" s="1399"/>
      <c r="AL1033" s="1399"/>
      <c r="AM1033" s="1399"/>
      <c r="AN1033" s="1399"/>
      <c r="AO1033" s="1399"/>
      <c r="AP1033" s="1399"/>
      <c r="AQ1033" s="1400"/>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8"/>
      <c r="AK1034" s="1399"/>
      <c r="AL1034" s="1399"/>
      <c r="AM1034" s="1399"/>
      <c r="AN1034" s="1399"/>
      <c r="AO1034" s="1399"/>
      <c r="AP1034" s="1399"/>
      <c r="AQ1034" s="1400"/>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1"/>
      <c r="AK1035" s="1402"/>
      <c r="AL1035" s="1402"/>
      <c r="AM1035" s="1402"/>
      <c r="AN1035" s="1402"/>
      <c r="AO1035" s="1402"/>
      <c r="AP1035" s="1402"/>
      <c r="AQ1035" s="1403"/>
      <c r="AR1035" s="68"/>
      <c r="AS1035" s="68"/>
      <c r="AT1035" s="68"/>
      <c r="AU1035" s="68"/>
      <c r="AV1035" s="68"/>
      <c r="AW1035" s="68"/>
      <c r="AX1035" s="68"/>
      <c r="AY1035" s="68"/>
    </row>
    <row r="1036" spans="1:57" ht="13"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669</v>
      </c>
      <c r="AH1036" s="1584"/>
      <c r="AI1036" s="83"/>
      <c r="AJ1036" s="1395">
        <f>ROUND(IF(AND(AG1036="yes",AJ1032=0),(AJ992*0.1),0),0)</f>
        <v>0</v>
      </c>
      <c r="AK1036" s="1396"/>
      <c r="AL1036" s="1396"/>
      <c r="AM1036" s="1396"/>
      <c r="AN1036" s="1396"/>
      <c r="AO1036" s="1396"/>
      <c r="AP1036" s="1396"/>
      <c r="AQ1036" s="1397"/>
      <c r="AR1036" s="68"/>
      <c r="AS1036" s="68"/>
      <c r="AT1036" s="68"/>
      <c r="AU1036" s="68"/>
      <c r="AV1036" s="68"/>
      <c r="AW1036" s="68"/>
      <c r="AX1036" s="68"/>
      <c r="AY1036" s="68"/>
    </row>
    <row r="1037" spans="1:57" ht="13" customHeight="1">
      <c r="A1037" s="14"/>
      <c r="B1037" s="73"/>
      <c r="C1037" s="74"/>
      <c r="D1037" s="1517"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8"/>
      <c r="AK1037" s="1399"/>
      <c r="AL1037" s="1399"/>
      <c r="AM1037" s="1399"/>
      <c r="AN1037" s="1399"/>
      <c r="AO1037" s="1399"/>
      <c r="AP1037" s="1399"/>
      <c r="AQ1037" s="1400"/>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8"/>
      <c r="AK1038" s="1399"/>
      <c r="AL1038" s="1399"/>
      <c r="AM1038" s="1399"/>
      <c r="AN1038" s="1399"/>
      <c r="AO1038" s="1399"/>
      <c r="AP1038" s="1399"/>
      <c r="AQ1038" s="1400"/>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8"/>
      <c r="AK1039" s="1399"/>
      <c r="AL1039" s="1399"/>
      <c r="AM1039" s="1399"/>
      <c r="AN1039" s="1399"/>
      <c r="AO1039" s="1399"/>
      <c r="AP1039" s="1399"/>
      <c r="AQ1039" s="1400"/>
      <c r="AR1039" s="68"/>
      <c r="AS1039" s="68"/>
      <c r="AT1039" s="68"/>
      <c r="AU1039" s="68"/>
      <c r="AV1039" s="68"/>
      <c r="AW1039" s="68"/>
      <c r="AX1039" s="68"/>
      <c r="AY1039" s="68"/>
      <c r="BA1039">
        <f>IFERROR((($CI$753+$CM$753)/$AG$440),0)</f>
        <v>0.8046875</v>
      </c>
      <c r="BB1039" s="3" t="s">
        <v>2494</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8"/>
      <c r="AK1040" s="1399"/>
      <c r="AL1040" s="1399"/>
      <c r="AM1040" s="1399"/>
      <c r="AN1040" s="1399"/>
      <c r="AO1040" s="1399"/>
      <c r="AP1040" s="1399"/>
      <c r="AQ1040" s="1400"/>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5">
        <f>ROUND(IF(AG1041="yes",(AJ992*0.1),0),0)</f>
        <v>0</v>
      </c>
      <c r="AK1041" s="1396"/>
      <c r="AL1041" s="1396"/>
      <c r="AM1041" s="1396"/>
      <c r="AN1041" s="1396"/>
      <c r="AO1041" s="1396"/>
      <c r="AP1041" s="1396"/>
      <c r="AQ1041" s="1397"/>
      <c r="AR1041" s="68"/>
      <c r="AS1041" s="68"/>
      <c r="AT1041" s="68"/>
      <c r="AU1041" s="68"/>
      <c r="AV1041" s="68"/>
      <c r="AW1041" s="68"/>
      <c r="AX1041" s="68"/>
      <c r="AY1041" s="68"/>
      <c r="BA1041">
        <f>Q212</f>
        <v>32</v>
      </c>
      <c r="BB1041" s="3" t="s">
        <v>2492</v>
      </c>
    </row>
    <row r="1042" spans="1:56" ht="13"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8"/>
      <c r="AK1042" s="1399"/>
      <c r="AL1042" s="1399"/>
      <c r="AM1042" s="1399"/>
      <c r="AN1042" s="1399"/>
      <c r="AO1042" s="1399"/>
      <c r="AP1042" s="1399"/>
      <c r="AQ1042" s="1400"/>
      <c r="AR1042" s="68"/>
      <c r="AS1042" s="68"/>
      <c r="AT1042" s="68"/>
      <c r="AU1042" s="68"/>
      <c r="AV1042" s="68"/>
      <c r="AW1042" s="68"/>
      <c r="AX1042" s="68"/>
      <c r="AY1042" s="68"/>
      <c r="BA1042" s="1184">
        <f>T212</f>
        <v>0.25</v>
      </c>
      <c r="BB1042" s="3" t="s">
        <v>2493</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8"/>
      <c r="AK1043" s="1399"/>
      <c r="AL1043" s="1399"/>
      <c r="AM1043" s="1399"/>
      <c r="AN1043" s="1399"/>
      <c r="AO1043" s="1399"/>
      <c r="AP1043" s="1399"/>
      <c r="AQ1043" s="1400"/>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1"/>
      <c r="AK1044" s="1402"/>
      <c r="AL1044" s="1402"/>
      <c r="AM1044" s="1402"/>
      <c r="AN1044" s="1402"/>
      <c r="AO1044" s="1402"/>
      <c r="AP1044" s="1402"/>
      <c r="AQ1044" s="1403"/>
      <c r="AR1044" s="68"/>
      <c r="AS1044" s="68"/>
      <c r="AT1044" s="68"/>
      <c r="AU1044" s="68"/>
      <c r="AV1044" s="68"/>
      <c r="AW1044" s="68"/>
      <c r="AX1044" s="68"/>
      <c r="AY1044" s="68"/>
    </row>
    <row r="1045" spans="1:56" ht="13"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5">
        <f>IF((X1048=0),0,AY1005*AJ992)</f>
        <v>27895632</v>
      </c>
      <c r="AK1045" s="1396"/>
      <c r="AL1045" s="1396"/>
      <c r="AM1045" s="1396"/>
      <c r="AN1045" s="1396"/>
      <c r="AO1045" s="1396"/>
      <c r="AP1045" s="1396"/>
      <c r="AQ1045" s="139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8"/>
      <c r="AK1046" s="1399"/>
      <c r="AL1046" s="1399"/>
      <c r="AM1046" s="1399"/>
      <c r="AN1046" s="1399"/>
      <c r="AO1046" s="1399"/>
      <c r="AP1046" s="1399"/>
      <c r="AQ1046" s="1400"/>
      <c r="AR1046" s="68"/>
      <c r="AS1046" s="68"/>
      <c r="AT1046" s="68"/>
      <c r="AU1046" s="13"/>
      <c r="AV1046" s="68"/>
      <c r="AW1046" s="68"/>
      <c r="AX1046" s="68"/>
      <c r="AY1046" s="68"/>
      <c r="AZ1046" s="962">
        <f>'Sources and Uses Budget'!S97*BA1046</f>
        <v>13165392.6</v>
      </c>
      <c r="BA1046" s="1182">
        <f>IF(BA1040,20%,15%)</f>
        <v>0.15</v>
      </c>
      <c r="BB1046" s="3" t="s">
        <v>2480</v>
      </c>
      <c r="BC1046" s="3" t="s">
        <v>2481</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8"/>
      <c r="AK1047" s="1399"/>
      <c r="AL1047" s="1399"/>
      <c r="AM1047" s="1399"/>
      <c r="AN1047" s="1399"/>
      <c r="AO1047" s="1399"/>
      <c r="AP1047" s="1399"/>
      <c r="AQ1047" s="1400"/>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571">
        <f>AY1003</f>
        <v>128</v>
      </c>
      <c r="J1048" s="1572"/>
      <c r="K1048" s="7"/>
      <c r="L1048" s="133"/>
      <c r="M1048" s="133"/>
      <c r="N1048" s="133"/>
      <c r="O1048" s="133"/>
      <c r="P1048" s="133"/>
      <c r="Q1048" s="133"/>
      <c r="R1048" s="133"/>
      <c r="S1048" s="133"/>
      <c r="T1048" s="133"/>
      <c r="U1048" s="133"/>
      <c r="V1048" s="134" t="s">
        <v>973</v>
      </c>
      <c r="W1048" s="48"/>
      <c r="X1048" s="1569">
        <f>CI753</f>
        <v>39</v>
      </c>
      <c r="Y1048" s="1570"/>
      <c r="Z1048" s="48"/>
      <c r="AA1048" s="48"/>
      <c r="AB1048" s="48"/>
      <c r="AC1048" s="48"/>
      <c r="AD1048" s="48"/>
      <c r="AE1048" s="49"/>
      <c r="AF1048" s="924"/>
      <c r="AG1048" s="925"/>
      <c r="AH1048" s="925"/>
      <c r="AI1048" s="926"/>
      <c r="AJ1048" s="1401"/>
      <c r="AK1048" s="1402"/>
      <c r="AL1048" s="1402"/>
      <c r="AM1048" s="1402"/>
      <c r="AN1048" s="1402"/>
      <c r="AO1048" s="1402"/>
      <c r="AP1048" s="1402"/>
      <c r="AQ1048" s="140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3"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5">
        <f>IF((X1052=0),0,(2*AY1006)*AJ992)</f>
        <v>92985440</v>
      </c>
      <c r="AK1049" s="1396"/>
      <c r="AL1049" s="1396"/>
      <c r="AM1049" s="1396"/>
      <c r="AN1049" s="1396"/>
      <c r="AO1049" s="1396"/>
      <c r="AP1049" s="1396"/>
      <c r="AQ1049" s="1397"/>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8"/>
      <c r="AK1050" s="1399"/>
      <c r="AL1050" s="1399"/>
      <c r="AM1050" s="1399"/>
      <c r="AN1050" s="1399"/>
      <c r="AO1050" s="1399"/>
      <c r="AP1050" s="1399"/>
      <c r="AQ1050" s="1400"/>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8"/>
      <c r="AK1051" s="1399"/>
      <c r="AL1051" s="1399"/>
      <c r="AM1051" s="1399"/>
      <c r="AN1051" s="1399"/>
      <c r="AO1051" s="1399"/>
      <c r="AP1051" s="1399"/>
      <c r="AQ1051" s="1400"/>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571">
        <f>AY1003</f>
        <v>128</v>
      </c>
      <c r="J1052" s="1572"/>
      <c r="K1052" s="14"/>
      <c r="L1052" s="133"/>
      <c r="M1052" s="133"/>
      <c r="N1052" s="133"/>
      <c r="O1052" s="133"/>
      <c r="P1052" s="133"/>
      <c r="Q1052" s="133"/>
      <c r="R1052" s="133"/>
      <c r="S1052" s="133"/>
      <c r="T1052" s="133"/>
      <c r="U1052" s="133"/>
      <c r="V1052" s="134" t="s">
        <v>974</v>
      </c>
      <c r="X1052" s="1569">
        <f>CM753</f>
        <v>64</v>
      </c>
      <c r="Y1052" s="1570"/>
      <c r="AF1052" s="924"/>
      <c r="AG1052" s="925"/>
      <c r="AH1052" s="925"/>
      <c r="AI1052" s="926"/>
      <c r="AJ1052" s="1401"/>
      <c r="AK1052" s="1402"/>
      <c r="AL1052" s="1402"/>
      <c r="AM1052" s="1402"/>
      <c r="AN1052" s="1402"/>
      <c r="AO1052" s="1402"/>
      <c r="AP1052" s="1402"/>
      <c r="AQ1052" s="1403"/>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252197846</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100934676</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13165392.6</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0.68741624737141349</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13165392</v>
      </c>
      <c r="BB1058" s="3" t="s">
        <v>2495</v>
      </c>
    </row>
    <row r="1059" spans="1:54" ht="13"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10665392</v>
      </c>
      <c r="BB1059" s="3" t="s">
        <v>2496</v>
      </c>
    </row>
    <row r="1060" spans="1:54" ht="13"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3" customHeight="1">
      <c r="A1061" s="1375" t="s">
        <v>794</v>
      </c>
      <c r="B1061" s="1375"/>
      <c r="C1061" s="1375"/>
      <c r="D1061" s="1375"/>
      <c r="E1061" s="1375"/>
      <c r="F1061" s="1375"/>
      <c r="G1061" s="1375"/>
      <c r="H1061" s="1375"/>
      <c r="I1061" s="1375"/>
      <c r="J1061" s="1375"/>
      <c r="K1061" s="1375"/>
      <c r="L1061" s="1375"/>
      <c r="M1061" s="1375"/>
      <c r="N1061" s="1375"/>
      <c r="O1061" s="1375"/>
      <c r="P1061" s="1375"/>
      <c r="Q1061" s="1375"/>
      <c r="R1061" s="1375"/>
      <c r="S1061" s="1375"/>
      <c r="T1061" s="1375"/>
      <c r="U1061" s="1375"/>
      <c r="V1061" s="1375"/>
      <c r="W1061" s="1375"/>
      <c r="X1061" s="1375"/>
      <c r="Y1061" s="1375"/>
      <c r="Z1061" s="1375"/>
      <c r="AA1061" s="1375"/>
      <c r="AB1061" s="1375"/>
      <c r="AC1061" s="1375"/>
      <c r="AD1061" s="1375"/>
      <c r="AE1061" s="1375"/>
      <c r="AF1061" s="1375"/>
      <c r="AG1061" s="1375"/>
      <c r="AH1061" s="1375"/>
      <c r="AI1061" s="1375"/>
      <c r="AJ1061" s="1375"/>
      <c r="AK1061" s="1375"/>
      <c r="AL1061" s="1375"/>
      <c r="AM1061" s="1375"/>
      <c r="AN1061" s="1375"/>
      <c r="AO1061" s="1375"/>
      <c r="AP1061" s="1375"/>
      <c r="AQ1061" s="1375"/>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545</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3" ySplit="1" topLeftCell="D2" activePane="bottomRight" state="frozen"/>
      <selection pane="topRight" activeCell="D1" sqref="D1"/>
      <selection pane="bottomLeft" activeCell="A2" sqref="A2"/>
      <selection pane="bottomRight" activeCell="C5" sqref="C5"/>
    </sheetView>
  </sheetViews>
  <sheetFormatPr defaultColWidth="0" defaultRowHeight="11.5" zeroHeight="1"/>
  <cols>
    <col min="1" max="1" width="35.6328125" style="187"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549</v>
      </c>
      <c r="B1" s="125"/>
      <c r="C1" s="125"/>
      <c r="D1" s="125"/>
      <c r="E1" s="126"/>
      <c r="F1" s="1862" t="s">
        <v>621</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373</v>
      </c>
      <c r="D2" s="138" t="s">
        <v>372</v>
      </c>
      <c r="E2" s="138" t="s">
        <v>24</v>
      </c>
      <c r="F2" s="139" t="str">
        <f>Application!B627&amp;Application!C627</f>
        <v>1) TE Perm Loan</v>
      </c>
      <c r="G2" s="139" t="str">
        <f>Application!B628&amp;Application!C628</f>
        <v>2)County of Santa Clara</v>
      </c>
      <c r="H2" s="139" t="str">
        <f>Application!B629&amp;Application!C629</f>
        <v xml:space="preserve">3)City of Palo Alto </v>
      </c>
      <c r="I2" s="139" t="str">
        <f>Application!B630&amp;Application!C630</f>
        <v>4)Stanford Affordable Housing Fund</v>
      </c>
      <c r="J2" s="139" t="str">
        <f>Application!B631&amp;Application!C631</f>
        <v>5)Deferred Developer Fee</v>
      </c>
      <c r="K2" s="139" t="str">
        <f>Application!B632&amp;Application!C632</f>
        <v>6)0</v>
      </c>
      <c r="L2" s="139" t="str">
        <f>Application!B633&amp;Application!C633</f>
        <v>7)0</v>
      </c>
      <c r="M2" s="139" t="str">
        <f>Application!B634&amp;Application!C634</f>
        <v>8)0</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f>C4-SUM(F4:Q4)</f>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320000</v>
      </c>
      <c r="C5" s="147">
        <v>320000</v>
      </c>
      <c r="D5" s="147"/>
      <c r="E5" s="147">
        <f t="shared" ref="E5:E7" si="0">C5-SUM(F5:Q5)</f>
        <v>0</v>
      </c>
      <c r="F5" s="147"/>
      <c r="G5" s="147"/>
      <c r="H5" s="147">
        <f>C5</f>
        <v>320000</v>
      </c>
      <c r="I5" s="147"/>
      <c r="J5" s="147"/>
      <c r="K5" s="147"/>
      <c r="L5" s="147"/>
      <c r="M5" s="147"/>
      <c r="N5" s="147"/>
      <c r="O5" s="147"/>
      <c r="P5" s="147"/>
      <c r="Q5" s="147"/>
      <c r="R5" s="516">
        <f>SUM(E5:Q5)</f>
        <v>320000</v>
      </c>
      <c r="S5" s="148"/>
      <c r="T5" s="148"/>
      <c r="U5" s="143"/>
    </row>
    <row r="6" spans="1:21" s="144" customFormat="1">
      <c r="A6" s="145" t="s">
        <v>29</v>
      </c>
      <c r="B6" s="146">
        <f>SUM(C6+D6)</f>
        <v>160574</v>
      </c>
      <c r="C6" s="147">
        <v>160574</v>
      </c>
      <c r="D6" s="147"/>
      <c r="E6" s="147">
        <f t="shared" si="0"/>
        <v>0</v>
      </c>
      <c r="F6" s="147"/>
      <c r="G6" s="147"/>
      <c r="H6" s="147">
        <f>C6</f>
        <v>160574</v>
      </c>
      <c r="I6" s="147"/>
      <c r="J6" s="147"/>
      <c r="K6" s="147"/>
      <c r="L6" s="147"/>
      <c r="M6" s="147"/>
      <c r="N6" s="147"/>
      <c r="O6" s="147"/>
      <c r="P6" s="147"/>
      <c r="Q6" s="147"/>
      <c r="R6" s="516">
        <f>SUM(E6:Q6)</f>
        <v>160574</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593</v>
      </c>
      <c r="B8" s="146">
        <f>SUM(C8:D8)</f>
        <v>480574</v>
      </c>
      <c r="C8" s="146">
        <f t="shared" ref="C8:Q8" si="1">SUM(C4:C7)</f>
        <v>480574</v>
      </c>
      <c r="D8" s="146">
        <f t="shared" si="1"/>
        <v>0</v>
      </c>
      <c r="E8" s="146">
        <f t="shared" si="1"/>
        <v>0</v>
      </c>
      <c r="F8" s="146">
        <f t="shared" si="1"/>
        <v>0</v>
      </c>
      <c r="G8" s="146">
        <f t="shared" si="1"/>
        <v>0</v>
      </c>
      <c r="H8" s="146">
        <f t="shared" si="1"/>
        <v>480574</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480574</v>
      </c>
      <c r="S8" s="148"/>
      <c r="T8" s="148"/>
      <c r="U8" s="143"/>
    </row>
    <row r="9" spans="1:21" s="144" customFormat="1">
      <c r="A9" s="145" t="s">
        <v>594</v>
      </c>
      <c r="B9" s="146">
        <f>SUM(C9+D9)</f>
        <v>0</v>
      </c>
      <c r="C9" s="147"/>
      <c r="D9" s="147"/>
      <c r="E9" s="147">
        <f>C9-SUM(F9-Q9)</f>
        <v>0</v>
      </c>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835292</v>
      </c>
      <c r="C10" s="147">
        <v>835292</v>
      </c>
      <c r="D10" s="147"/>
      <c r="E10" s="147">
        <f>C10-SUM(F10:Q10)</f>
        <v>0</v>
      </c>
      <c r="F10" s="147"/>
      <c r="G10" s="147"/>
      <c r="H10" s="147">
        <f>C10</f>
        <v>835292</v>
      </c>
      <c r="I10" s="147"/>
      <c r="J10" s="147"/>
      <c r="K10" s="147"/>
      <c r="L10" s="147"/>
      <c r="M10" s="147"/>
      <c r="N10" s="147"/>
      <c r="O10" s="147"/>
      <c r="P10" s="147"/>
      <c r="Q10" s="147"/>
      <c r="R10" s="516">
        <f>SUM(E10:Q10)</f>
        <v>835292</v>
      </c>
      <c r="S10" s="147">
        <f>R10</f>
        <v>835292</v>
      </c>
      <c r="T10" s="147"/>
      <c r="U10" s="143"/>
    </row>
    <row r="11" spans="1:21" s="144" customFormat="1">
      <c r="A11" s="149" t="s">
        <v>596</v>
      </c>
      <c r="B11" s="146">
        <f>SUM(C11:D11)</f>
        <v>835292</v>
      </c>
      <c r="C11" s="146">
        <f t="shared" ref="C11:Q11" si="2">SUM(C9:C10)</f>
        <v>835292</v>
      </c>
      <c r="D11" s="146">
        <f t="shared" si="2"/>
        <v>0</v>
      </c>
      <c r="E11" s="146">
        <f t="shared" si="2"/>
        <v>0</v>
      </c>
      <c r="F11" s="146">
        <f t="shared" si="2"/>
        <v>0</v>
      </c>
      <c r="G11" s="146">
        <f t="shared" si="2"/>
        <v>0</v>
      </c>
      <c r="H11" s="146">
        <f t="shared" si="2"/>
        <v>835292</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42">
        <f>SUM(R9:R10)</f>
        <v>835292</v>
      </c>
      <c r="S11" s="148"/>
      <c r="T11" s="150">
        <f>SUM(T9:T10)</f>
        <v>0</v>
      </c>
      <c r="U11" s="143"/>
    </row>
    <row r="12" spans="1:21" s="144" customFormat="1">
      <c r="A12" s="149" t="s">
        <v>84</v>
      </c>
      <c r="B12" s="146">
        <f t="shared" ref="B12:Q12" si="3">SUM(B8+B11)</f>
        <v>1315866</v>
      </c>
      <c r="C12" s="146">
        <f t="shared" si="3"/>
        <v>1315866</v>
      </c>
      <c r="D12" s="146">
        <f t="shared" si="3"/>
        <v>0</v>
      </c>
      <c r="E12" s="146">
        <f t="shared" si="3"/>
        <v>0</v>
      </c>
      <c r="F12" s="146">
        <f t="shared" si="3"/>
        <v>0</v>
      </c>
      <c r="G12" s="146">
        <f t="shared" si="3"/>
        <v>0</v>
      </c>
      <c r="H12" s="146">
        <f t="shared" si="3"/>
        <v>1315866</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42">
        <f>SUM(R8+R11)</f>
        <v>1315866</v>
      </c>
      <c r="S12" s="148"/>
      <c r="T12" s="148"/>
      <c r="U12" s="143"/>
    </row>
    <row r="13" spans="1:21" s="144" customFormat="1">
      <c r="A13" s="287" t="s">
        <v>902</v>
      </c>
      <c r="B13" s="146">
        <f>SUM(C13+D13)</f>
        <v>1499448</v>
      </c>
      <c r="C13" s="147">
        <f>904448+595000</f>
        <v>1499448</v>
      </c>
      <c r="D13" s="147"/>
      <c r="E13" s="147">
        <f>C13-SUM(F13:Q13)</f>
        <v>0</v>
      </c>
      <c r="F13" s="147"/>
      <c r="G13" s="147"/>
      <c r="H13" s="147">
        <f>C13</f>
        <v>1499448</v>
      </c>
      <c r="I13" s="147"/>
      <c r="J13" s="147"/>
      <c r="K13" s="147"/>
      <c r="L13" s="147"/>
      <c r="M13" s="147"/>
      <c r="N13" s="147"/>
      <c r="O13" s="147"/>
      <c r="P13" s="147"/>
      <c r="Q13" s="147"/>
      <c r="R13" s="516">
        <f>SUM(E13:Q13)</f>
        <v>1499448</v>
      </c>
      <c r="S13" s="147">
        <v>135667</v>
      </c>
      <c r="T13" s="147"/>
      <c r="U13" s="143"/>
    </row>
    <row r="14" spans="1:21" s="144" customFormat="1" ht="23">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4">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4"/>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4"/>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16">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16">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16">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16">
        <f t="shared" si="5"/>
        <v>0</v>
      </c>
      <c r="S23" s="147"/>
      <c r="T23" s="147"/>
      <c r="U23" s="143"/>
    </row>
    <row r="24" spans="1:21" s="144" customFormat="1">
      <c r="A24" s="508" t="s">
        <v>1640</v>
      </c>
      <c r="B24" s="146">
        <f t="shared" si="4"/>
        <v>0</v>
      </c>
      <c r="C24" s="147"/>
      <c r="D24" s="147"/>
      <c r="E24" s="147"/>
      <c r="F24" s="147"/>
      <c r="G24" s="147"/>
      <c r="H24" s="147"/>
      <c r="I24" s="147"/>
      <c r="J24" s="147"/>
      <c r="K24" s="147"/>
      <c r="L24" s="147"/>
      <c r="M24" s="147"/>
      <c r="N24" s="147"/>
      <c r="O24" s="147"/>
      <c r="P24" s="147"/>
      <c r="Q24" s="147"/>
      <c r="R24" s="516">
        <f t="shared" si="5"/>
        <v>0</v>
      </c>
      <c r="S24" s="147"/>
      <c r="T24" s="147"/>
      <c r="U24" s="143"/>
    </row>
    <row r="25" spans="1:21" s="144" customFormat="1">
      <c r="A25" s="1149"/>
      <c r="B25" s="146">
        <f t="shared" si="4"/>
        <v>0</v>
      </c>
      <c r="C25" s="147"/>
      <c r="D25" s="147"/>
      <c r="E25" s="147"/>
      <c r="F25" s="147"/>
      <c r="G25" s="147"/>
      <c r="H25" s="147"/>
      <c r="I25" s="147"/>
      <c r="J25" s="147"/>
      <c r="K25" s="147"/>
      <c r="L25" s="147"/>
      <c r="M25" s="147"/>
      <c r="N25" s="147"/>
      <c r="O25" s="147"/>
      <c r="P25" s="147"/>
      <c r="Q25" s="147"/>
      <c r="R25" s="516">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5"/>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7">SUM(C29+D29)</f>
        <v>1710014</v>
      </c>
      <c r="C29" s="147">
        <v>1710014</v>
      </c>
      <c r="D29" s="147"/>
      <c r="E29" s="147">
        <f>C29-SUM(F29:Q29)</f>
        <v>0</v>
      </c>
      <c r="F29" s="147"/>
      <c r="G29" s="147"/>
      <c r="H29" s="147"/>
      <c r="I29" s="147">
        <f>C29</f>
        <v>1710014</v>
      </c>
      <c r="J29" s="147"/>
      <c r="K29" s="147"/>
      <c r="L29" s="147"/>
      <c r="M29" s="147"/>
      <c r="N29" s="147"/>
      <c r="O29" s="147"/>
      <c r="P29" s="147"/>
      <c r="Q29" s="147"/>
      <c r="R29" s="516">
        <f t="shared" ref="R29:R37" si="8">SUM(E29:Q29)</f>
        <v>1710014</v>
      </c>
      <c r="S29" s="147">
        <f>R29</f>
        <v>1710014</v>
      </c>
      <c r="T29" s="147"/>
      <c r="U29" s="143"/>
    </row>
    <row r="30" spans="1:21" s="144" customFormat="1">
      <c r="A30" s="145" t="s">
        <v>599</v>
      </c>
      <c r="B30" s="146">
        <f t="shared" si="7"/>
        <v>63954346</v>
      </c>
      <c r="C30" s="147">
        <f>58163979+3698102+2092265</f>
        <v>63954346</v>
      </c>
      <c r="D30" s="147"/>
      <c r="E30" s="147">
        <f t="shared" ref="E30:E37" si="9">C30-SUM(F30:Q30)</f>
        <v>37156360</v>
      </c>
      <c r="F30" s="147">
        <f>F108</f>
        <v>25508000</v>
      </c>
      <c r="G30" s="147"/>
      <c r="H30" s="147"/>
      <c r="I30" s="147">
        <f>3000000-I29</f>
        <v>1289986</v>
      </c>
      <c r="J30" s="147"/>
      <c r="K30" s="147"/>
      <c r="L30" s="147"/>
      <c r="M30" s="147"/>
      <c r="N30" s="147"/>
      <c r="O30" s="147"/>
      <c r="P30" s="147"/>
      <c r="Q30" s="147"/>
      <c r="R30" s="516">
        <f t="shared" si="8"/>
        <v>63954346</v>
      </c>
      <c r="S30" s="147">
        <f t="shared" ref="S30:S36" si="10">R30</f>
        <v>63954346</v>
      </c>
      <c r="T30" s="147"/>
      <c r="U30" s="143"/>
    </row>
    <row r="31" spans="1:21" s="144" customFormat="1">
      <c r="A31" s="145" t="s">
        <v>600</v>
      </c>
      <c r="B31" s="146">
        <f t="shared" si="7"/>
        <v>2824275</v>
      </c>
      <c r="C31" s="147">
        <v>2824275</v>
      </c>
      <c r="D31" s="147"/>
      <c r="E31" s="147">
        <f t="shared" si="9"/>
        <v>2824275</v>
      </c>
      <c r="F31" s="147"/>
      <c r="G31" s="147"/>
      <c r="H31" s="147"/>
      <c r="I31" s="147"/>
      <c r="J31" s="147"/>
      <c r="K31" s="147"/>
      <c r="L31" s="147"/>
      <c r="M31" s="147"/>
      <c r="N31" s="147"/>
      <c r="O31" s="147"/>
      <c r="P31" s="147"/>
      <c r="Q31" s="147"/>
      <c r="R31" s="516">
        <f t="shared" si="8"/>
        <v>2824275</v>
      </c>
      <c r="S31" s="147">
        <f t="shared" si="10"/>
        <v>2824275</v>
      </c>
      <c r="T31" s="147"/>
      <c r="U31" s="143"/>
    </row>
    <row r="32" spans="1:21" s="144" customFormat="1">
      <c r="A32" s="145" t="s">
        <v>137</v>
      </c>
      <c r="B32" s="146">
        <f t="shared" si="7"/>
        <v>1679821.5</v>
      </c>
      <c r="C32" s="147">
        <v>1679821.5</v>
      </c>
      <c r="D32" s="147"/>
      <c r="E32" s="147">
        <f t="shared" si="9"/>
        <v>1679821.5</v>
      </c>
      <c r="F32" s="147"/>
      <c r="G32" s="147"/>
      <c r="H32" s="147"/>
      <c r="I32" s="147"/>
      <c r="J32" s="147"/>
      <c r="K32" s="147"/>
      <c r="L32" s="147"/>
      <c r="M32" s="147"/>
      <c r="N32" s="147"/>
      <c r="O32" s="147"/>
      <c r="P32" s="147"/>
      <c r="Q32" s="147"/>
      <c r="R32" s="516">
        <f t="shared" si="8"/>
        <v>1679821.5</v>
      </c>
      <c r="S32" s="147">
        <f t="shared" si="10"/>
        <v>1679821.5</v>
      </c>
      <c r="T32" s="147"/>
      <c r="U32" s="143"/>
    </row>
    <row r="33" spans="1:21" s="144" customFormat="1">
      <c r="A33" s="145" t="s">
        <v>138</v>
      </c>
      <c r="B33" s="146">
        <f t="shared" si="7"/>
        <v>1679821.5</v>
      </c>
      <c r="C33" s="147">
        <v>1679821.5</v>
      </c>
      <c r="D33" s="147"/>
      <c r="E33" s="147">
        <f t="shared" si="9"/>
        <v>1679821.5</v>
      </c>
      <c r="F33" s="147"/>
      <c r="G33" s="147"/>
      <c r="H33" s="147"/>
      <c r="I33" s="147"/>
      <c r="J33" s="147"/>
      <c r="K33" s="147"/>
      <c r="L33" s="147"/>
      <c r="M33" s="147"/>
      <c r="N33" s="147"/>
      <c r="O33" s="147"/>
      <c r="P33" s="147"/>
      <c r="Q33" s="147"/>
      <c r="R33" s="516">
        <f t="shared" si="8"/>
        <v>1679821.5</v>
      </c>
      <c r="S33" s="147">
        <f t="shared" si="10"/>
        <v>1679821.5</v>
      </c>
      <c r="T33" s="147"/>
      <c r="U33" s="143"/>
    </row>
    <row r="34" spans="1:21" s="144" customFormat="1">
      <c r="A34" s="145" t="s">
        <v>139</v>
      </c>
      <c r="B34" s="146">
        <f t="shared" si="7"/>
        <v>0</v>
      </c>
      <c r="C34" s="147">
        <v>0</v>
      </c>
      <c r="D34" s="147"/>
      <c r="E34" s="147">
        <f t="shared" si="9"/>
        <v>0</v>
      </c>
      <c r="F34" s="147"/>
      <c r="G34" s="147"/>
      <c r="H34" s="147"/>
      <c r="I34" s="147"/>
      <c r="J34" s="147"/>
      <c r="K34" s="147"/>
      <c r="L34" s="147"/>
      <c r="M34" s="147"/>
      <c r="N34" s="147"/>
      <c r="O34" s="147"/>
      <c r="P34" s="147"/>
      <c r="Q34" s="147"/>
      <c r="R34" s="516">
        <f t="shared" si="8"/>
        <v>0</v>
      </c>
      <c r="S34" s="147">
        <f t="shared" si="10"/>
        <v>0</v>
      </c>
      <c r="T34" s="147"/>
      <c r="U34" s="143"/>
    </row>
    <row r="35" spans="1:21" s="144" customFormat="1">
      <c r="A35" s="145" t="s">
        <v>140</v>
      </c>
      <c r="B35" s="146">
        <f t="shared" si="7"/>
        <v>0</v>
      </c>
      <c r="C35" s="147">
        <v>0</v>
      </c>
      <c r="D35" s="147"/>
      <c r="E35" s="147">
        <f t="shared" si="9"/>
        <v>0</v>
      </c>
      <c r="F35" s="147"/>
      <c r="G35" s="147"/>
      <c r="H35" s="147"/>
      <c r="I35" s="147"/>
      <c r="J35" s="147"/>
      <c r="K35" s="147"/>
      <c r="L35" s="147"/>
      <c r="M35" s="147"/>
      <c r="N35" s="147"/>
      <c r="O35" s="147"/>
      <c r="P35" s="147"/>
      <c r="Q35" s="147"/>
      <c r="R35" s="516">
        <f t="shared" si="8"/>
        <v>0</v>
      </c>
      <c r="S35" s="147">
        <f t="shared" si="10"/>
        <v>0</v>
      </c>
      <c r="T35" s="147"/>
      <c r="U35" s="143"/>
    </row>
    <row r="36" spans="1:21" s="144" customFormat="1">
      <c r="A36" s="283" t="s">
        <v>1640</v>
      </c>
      <c r="B36" s="146">
        <f t="shared" si="7"/>
        <v>295840</v>
      </c>
      <c r="C36" s="147">
        <v>295840</v>
      </c>
      <c r="D36" s="147"/>
      <c r="E36" s="147">
        <f t="shared" si="9"/>
        <v>295840</v>
      </c>
      <c r="F36" s="147"/>
      <c r="G36" s="147"/>
      <c r="H36" s="147"/>
      <c r="I36" s="147"/>
      <c r="J36" s="147"/>
      <c r="K36" s="147"/>
      <c r="L36" s="147"/>
      <c r="M36" s="147"/>
      <c r="N36" s="147"/>
      <c r="O36" s="147"/>
      <c r="P36" s="147"/>
      <c r="Q36" s="147"/>
      <c r="R36" s="516">
        <f t="shared" si="8"/>
        <v>295840</v>
      </c>
      <c r="S36" s="147">
        <f t="shared" si="10"/>
        <v>295840</v>
      </c>
      <c r="T36" s="147"/>
      <c r="U36" s="143"/>
    </row>
    <row r="37" spans="1:21" s="144" customFormat="1" ht="23">
      <c r="A37" s="1149" t="s">
        <v>2734</v>
      </c>
      <c r="B37" s="146">
        <f t="shared" si="7"/>
        <v>950801</v>
      </c>
      <c r="C37" s="147">
        <f>1197959+390000-637158</f>
        <v>950801</v>
      </c>
      <c r="D37" s="147"/>
      <c r="E37" s="147">
        <f t="shared" si="9"/>
        <v>950801</v>
      </c>
      <c r="F37" s="147"/>
      <c r="G37" s="147"/>
      <c r="H37" s="147"/>
      <c r="I37" s="147"/>
      <c r="J37" s="147"/>
      <c r="K37" s="147"/>
      <c r="L37" s="147"/>
      <c r="M37" s="147"/>
      <c r="N37" s="147"/>
      <c r="O37" s="147"/>
      <c r="P37" s="147"/>
      <c r="Q37" s="147"/>
      <c r="R37" s="516">
        <f t="shared" si="8"/>
        <v>950801</v>
      </c>
      <c r="S37" s="147">
        <f>R37-390000</f>
        <v>560801</v>
      </c>
      <c r="T37" s="147"/>
      <c r="U37" s="143"/>
    </row>
    <row r="38" spans="1:21" s="144" customFormat="1">
      <c r="A38" s="149" t="s">
        <v>143</v>
      </c>
      <c r="B38" s="146">
        <f t="shared" si="7"/>
        <v>73094919</v>
      </c>
      <c r="C38" s="146">
        <f>SUM(C29:C37)</f>
        <v>73094919</v>
      </c>
      <c r="D38" s="146">
        <f t="shared" ref="D38:Q38" si="11">SUM(D29:D37)</f>
        <v>0</v>
      </c>
      <c r="E38" s="146">
        <f t="shared" si="11"/>
        <v>44586919</v>
      </c>
      <c r="F38" s="146">
        <f t="shared" si="11"/>
        <v>25508000</v>
      </c>
      <c r="G38" s="146">
        <f t="shared" si="11"/>
        <v>0</v>
      </c>
      <c r="H38" s="146">
        <f t="shared" si="11"/>
        <v>0</v>
      </c>
      <c r="I38" s="146">
        <f t="shared" si="11"/>
        <v>3000000</v>
      </c>
      <c r="J38" s="146">
        <f t="shared" si="11"/>
        <v>0</v>
      </c>
      <c r="K38" s="146">
        <f t="shared" si="11"/>
        <v>0</v>
      </c>
      <c r="L38" s="146">
        <f t="shared" si="11"/>
        <v>0</v>
      </c>
      <c r="M38" s="146">
        <f t="shared" si="11"/>
        <v>0</v>
      </c>
      <c r="N38" s="146">
        <f t="shared" si="11"/>
        <v>0</v>
      </c>
      <c r="O38" s="146">
        <f t="shared" si="11"/>
        <v>0</v>
      </c>
      <c r="P38" s="146">
        <f t="shared" si="11"/>
        <v>0</v>
      </c>
      <c r="Q38" s="146">
        <f t="shared" si="11"/>
        <v>0</v>
      </c>
      <c r="R38" s="342">
        <f>SUM(R29:R37)</f>
        <v>73094919</v>
      </c>
      <c r="S38" s="150">
        <f>SUM(S29:S37)</f>
        <v>72704919</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2650000</v>
      </c>
      <c r="C40" s="147">
        <v>2650000</v>
      </c>
      <c r="D40" s="147"/>
      <c r="E40" s="147">
        <f>C40-SUM(F40:Q40)</f>
        <v>0</v>
      </c>
      <c r="F40" s="147"/>
      <c r="G40" s="147">
        <f>C40-H40</f>
        <v>1369729</v>
      </c>
      <c r="H40" s="147">
        <f>5000000-SUM(H13,H43,H10,H8)</f>
        <v>1280271</v>
      </c>
      <c r="I40" s="147"/>
      <c r="J40" s="147"/>
      <c r="K40" s="147"/>
      <c r="L40" s="147"/>
      <c r="M40" s="147"/>
      <c r="N40" s="147"/>
      <c r="O40" s="147"/>
      <c r="P40" s="147"/>
      <c r="Q40" s="147"/>
      <c r="R40" s="516">
        <f>SUM(E40:Q40)</f>
        <v>2650000</v>
      </c>
      <c r="S40" s="147">
        <f>R40</f>
        <v>2650000</v>
      </c>
      <c r="T40" s="147"/>
      <c r="U40" s="143"/>
    </row>
    <row r="41" spans="1:21" s="144" customFormat="1">
      <c r="A41" s="145" t="s">
        <v>146</v>
      </c>
      <c r="B41" s="146">
        <f>SUM(C41+D41)</f>
        <v>0</v>
      </c>
      <c r="C41" s="147"/>
      <c r="D41" s="147"/>
      <c r="E41" s="147">
        <f>C41-SUM(F41:Q41)</f>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2650000</v>
      </c>
      <c r="C42" s="146">
        <f>SUM(C39:C41)</f>
        <v>2650000</v>
      </c>
      <c r="D42" s="146">
        <f>SUM(D39:D41)</f>
        <v>0</v>
      </c>
      <c r="E42" s="146">
        <f t="shared" ref="E42:T42" si="12">SUM(E40:E41)</f>
        <v>0</v>
      </c>
      <c r="F42" s="146">
        <f t="shared" si="12"/>
        <v>0</v>
      </c>
      <c r="G42" s="146">
        <f t="shared" si="12"/>
        <v>1369729</v>
      </c>
      <c r="H42" s="146">
        <f t="shared" si="12"/>
        <v>1280271</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2650000</v>
      </c>
      <c r="S42" s="150">
        <f t="shared" si="12"/>
        <v>2650000</v>
      </c>
      <c r="T42" s="150">
        <f t="shared" si="12"/>
        <v>0</v>
      </c>
      <c r="U42" s="143"/>
    </row>
    <row r="43" spans="1:21" s="144" customFormat="1">
      <c r="A43" s="149" t="s">
        <v>148</v>
      </c>
      <c r="B43" s="146">
        <f>SUM(C43:D43)</f>
        <v>904415</v>
      </c>
      <c r="C43" s="147">
        <v>904415</v>
      </c>
      <c r="D43" s="147"/>
      <c r="E43" s="147">
        <f>C43-SUM(F43:Q43)</f>
        <v>0</v>
      </c>
      <c r="F43" s="147"/>
      <c r="G43" s="147"/>
      <c r="H43" s="147">
        <f>C43</f>
        <v>904415</v>
      </c>
      <c r="I43" s="147"/>
      <c r="J43" s="147"/>
      <c r="K43" s="147"/>
      <c r="L43" s="147"/>
      <c r="M43" s="147"/>
      <c r="N43" s="147"/>
      <c r="O43" s="147"/>
      <c r="P43" s="147"/>
      <c r="Q43" s="147"/>
      <c r="R43" s="516">
        <f>SUM(E43:Q43)</f>
        <v>904415</v>
      </c>
      <c r="S43" s="147">
        <f>R43</f>
        <v>904415</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6730044</v>
      </c>
      <c r="C45" s="147">
        <v>6730044</v>
      </c>
      <c r="D45" s="147"/>
      <c r="E45" s="147">
        <f>C45-SUM(F45:Q45)</f>
        <v>6730044</v>
      </c>
      <c r="F45" s="147"/>
      <c r="G45" s="147"/>
      <c r="H45" s="147"/>
      <c r="I45" s="147"/>
      <c r="J45" s="147"/>
      <c r="K45" s="147"/>
      <c r="L45" s="147"/>
      <c r="M45" s="147"/>
      <c r="N45" s="147"/>
      <c r="O45" s="147"/>
      <c r="P45" s="147"/>
      <c r="Q45" s="147"/>
      <c r="R45" s="516">
        <f t="shared" ref="R45:R53" si="14">SUM(E45:Q45)</f>
        <v>6730044</v>
      </c>
      <c r="S45" s="147">
        <f>2042497+338770</f>
        <v>2381267</v>
      </c>
      <c r="T45" s="147"/>
      <c r="U45" s="143"/>
    </row>
    <row r="46" spans="1:21" s="144" customFormat="1">
      <c r="A46" s="145" t="s">
        <v>151</v>
      </c>
      <c r="B46" s="146">
        <f t="shared" si="13"/>
        <v>399361</v>
      </c>
      <c r="C46" s="147">
        <v>399361</v>
      </c>
      <c r="D46" s="147"/>
      <c r="E46" s="147">
        <f t="shared" ref="E46:E53" si="15">C46-SUM(F46:Q46)</f>
        <v>0</v>
      </c>
      <c r="F46" s="147"/>
      <c r="G46" s="147">
        <f>C46</f>
        <v>399361</v>
      </c>
      <c r="H46" s="147"/>
      <c r="I46" s="147"/>
      <c r="J46" s="147"/>
      <c r="K46" s="147"/>
      <c r="L46" s="147"/>
      <c r="M46" s="147"/>
      <c r="N46" s="147"/>
      <c r="O46" s="147"/>
      <c r="P46" s="147"/>
      <c r="Q46" s="147"/>
      <c r="R46" s="516">
        <f t="shared" si="14"/>
        <v>399361</v>
      </c>
      <c r="S46" s="147">
        <v>141998</v>
      </c>
      <c r="T46" s="147"/>
      <c r="U46" s="143"/>
    </row>
    <row r="47" spans="1:21" s="144" customFormat="1">
      <c r="A47" s="186" t="s">
        <v>152</v>
      </c>
      <c r="B47" s="146">
        <f t="shared" si="13"/>
        <v>0</v>
      </c>
      <c r="C47" s="147"/>
      <c r="D47" s="147"/>
      <c r="E47" s="147">
        <f t="shared" si="15"/>
        <v>0</v>
      </c>
      <c r="F47" s="147"/>
      <c r="G47" s="147"/>
      <c r="H47" s="147"/>
      <c r="I47" s="147"/>
      <c r="J47" s="147"/>
      <c r="K47" s="147"/>
      <c r="L47" s="147"/>
      <c r="M47" s="147"/>
      <c r="N47" s="147"/>
      <c r="O47" s="147"/>
      <c r="P47" s="147"/>
      <c r="Q47" s="147"/>
      <c r="R47" s="516">
        <f t="shared" si="14"/>
        <v>0</v>
      </c>
      <c r="S47" s="147"/>
      <c r="T47" s="147"/>
      <c r="U47" s="143"/>
    </row>
    <row r="48" spans="1:21" s="144" customFormat="1">
      <c r="A48" s="145" t="s">
        <v>153</v>
      </c>
      <c r="B48" s="146">
        <f t="shared" si="13"/>
        <v>0</v>
      </c>
      <c r="C48" s="147"/>
      <c r="D48" s="147"/>
      <c r="E48" s="147">
        <f t="shared" si="15"/>
        <v>0</v>
      </c>
      <c r="F48" s="147"/>
      <c r="G48" s="147"/>
      <c r="H48" s="147"/>
      <c r="I48" s="147"/>
      <c r="J48" s="147"/>
      <c r="K48" s="147"/>
      <c r="L48" s="147"/>
      <c r="M48" s="147"/>
      <c r="N48" s="147"/>
      <c r="O48" s="147"/>
      <c r="P48" s="147"/>
      <c r="Q48" s="147"/>
      <c r="R48" s="516">
        <f t="shared" si="14"/>
        <v>0</v>
      </c>
      <c r="S48" s="147"/>
      <c r="T48" s="147"/>
      <c r="U48" s="143"/>
    </row>
    <row r="49" spans="1:21" s="144" customFormat="1">
      <c r="A49" s="145" t="s">
        <v>57</v>
      </c>
      <c r="B49" s="146">
        <f t="shared" si="13"/>
        <v>303549</v>
      </c>
      <c r="C49" s="147">
        <v>303549</v>
      </c>
      <c r="D49" s="147"/>
      <c r="E49" s="147">
        <f t="shared" si="15"/>
        <v>0</v>
      </c>
      <c r="F49" s="147"/>
      <c r="G49" s="147">
        <f>C49</f>
        <v>303549</v>
      </c>
      <c r="H49" s="147"/>
      <c r="I49" s="147"/>
      <c r="J49" s="147"/>
      <c r="K49" s="147"/>
      <c r="L49" s="147"/>
      <c r="M49" s="147"/>
      <c r="N49" s="147"/>
      <c r="O49" s="147"/>
      <c r="P49" s="147"/>
      <c r="Q49" s="147"/>
      <c r="R49" s="516">
        <f t="shared" si="14"/>
        <v>303549</v>
      </c>
      <c r="S49" s="147"/>
      <c r="T49" s="147"/>
      <c r="U49" s="143"/>
    </row>
    <row r="50" spans="1:21" s="144" customFormat="1">
      <c r="A50" s="145" t="s">
        <v>156</v>
      </c>
      <c r="B50" s="146">
        <f t="shared" si="13"/>
        <v>40000</v>
      </c>
      <c r="C50" s="147">
        <v>40000</v>
      </c>
      <c r="D50" s="147"/>
      <c r="E50" s="147">
        <f t="shared" si="15"/>
        <v>0</v>
      </c>
      <c r="F50" s="147"/>
      <c r="G50" s="147">
        <f>C50</f>
        <v>40000</v>
      </c>
      <c r="H50" s="147"/>
      <c r="I50" s="147"/>
      <c r="J50" s="147"/>
      <c r="K50" s="147"/>
      <c r="L50" s="147"/>
      <c r="M50" s="147"/>
      <c r="N50" s="147"/>
      <c r="O50" s="147"/>
      <c r="P50" s="147"/>
      <c r="Q50" s="147"/>
      <c r="R50" s="516">
        <f t="shared" si="14"/>
        <v>40000</v>
      </c>
      <c r="S50" s="147">
        <f>R50</f>
        <v>40000</v>
      </c>
      <c r="T50" s="147"/>
      <c r="U50" s="143"/>
    </row>
    <row r="51" spans="1:21" s="144" customFormat="1">
      <c r="A51" s="283" t="s">
        <v>154</v>
      </c>
      <c r="B51" s="146">
        <f t="shared" si="13"/>
        <v>800000</v>
      </c>
      <c r="C51" s="147">
        <v>800000</v>
      </c>
      <c r="D51" s="147"/>
      <c r="E51" s="147">
        <f t="shared" si="15"/>
        <v>800000</v>
      </c>
      <c r="F51" s="147"/>
      <c r="G51" s="147"/>
      <c r="H51" s="147"/>
      <c r="I51" s="147"/>
      <c r="J51" s="147"/>
      <c r="K51" s="147"/>
      <c r="L51" s="147"/>
      <c r="M51" s="147"/>
      <c r="N51" s="147"/>
      <c r="O51" s="147"/>
      <c r="P51" s="147"/>
      <c r="Q51" s="147"/>
      <c r="R51" s="516">
        <f t="shared" si="14"/>
        <v>800000</v>
      </c>
      <c r="S51" s="147"/>
      <c r="T51" s="147"/>
      <c r="U51" s="143"/>
    </row>
    <row r="52" spans="1:21" s="144" customFormat="1">
      <c r="A52" s="145" t="s">
        <v>155</v>
      </c>
      <c r="B52" s="146">
        <f t="shared" si="13"/>
        <v>1900000</v>
      </c>
      <c r="C52" s="147">
        <v>1900000</v>
      </c>
      <c r="D52" s="147"/>
      <c r="E52" s="147">
        <f t="shared" si="15"/>
        <v>1900000</v>
      </c>
      <c r="F52" s="147"/>
      <c r="G52" s="147"/>
      <c r="H52" s="147"/>
      <c r="I52" s="147"/>
      <c r="J52" s="147"/>
      <c r="K52" s="147"/>
      <c r="L52" s="147"/>
      <c r="M52" s="147"/>
      <c r="N52" s="147"/>
      <c r="O52" s="147"/>
      <c r="P52" s="147"/>
      <c r="Q52" s="147"/>
      <c r="R52" s="516">
        <f t="shared" si="14"/>
        <v>1900000</v>
      </c>
      <c r="S52" s="147">
        <f>R52</f>
        <v>1900000</v>
      </c>
      <c r="T52" s="147"/>
      <c r="U52" s="143"/>
    </row>
    <row r="53" spans="1:21" s="144" customFormat="1">
      <c r="A53" s="1149" t="s">
        <v>2731</v>
      </c>
      <c r="B53" s="146">
        <f t="shared" si="13"/>
        <v>50000</v>
      </c>
      <c r="C53" s="147">
        <v>50000</v>
      </c>
      <c r="D53" s="147"/>
      <c r="E53" s="147">
        <f t="shared" si="15"/>
        <v>0</v>
      </c>
      <c r="F53" s="147"/>
      <c r="G53" s="147">
        <f>C53</f>
        <v>50000</v>
      </c>
      <c r="H53" s="147"/>
      <c r="I53" s="147"/>
      <c r="J53" s="147"/>
      <c r="K53" s="147"/>
      <c r="L53" s="147"/>
      <c r="M53" s="147"/>
      <c r="N53" s="147"/>
      <c r="O53" s="147"/>
      <c r="P53" s="147"/>
      <c r="Q53" s="147"/>
      <c r="R53" s="516">
        <f t="shared" si="14"/>
        <v>50000</v>
      </c>
      <c r="S53" s="147">
        <v>17780</v>
      </c>
      <c r="T53" s="147"/>
      <c r="U53" s="143"/>
    </row>
    <row r="54" spans="1:21" s="153" customFormat="1">
      <c r="A54" s="149" t="s">
        <v>157</v>
      </c>
      <c r="B54" s="150">
        <f>SUM(C54:D54)</f>
        <v>10222954</v>
      </c>
      <c r="C54" s="150">
        <f t="shared" ref="C54:T54" si="16">SUM(C45:C53)</f>
        <v>10222954</v>
      </c>
      <c r="D54" s="150">
        <f t="shared" si="16"/>
        <v>0</v>
      </c>
      <c r="E54" s="150">
        <f t="shared" si="16"/>
        <v>9430044</v>
      </c>
      <c r="F54" s="150">
        <f t="shared" si="16"/>
        <v>0</v>
      </c>
      <c r="G54" s="150">
        <f t="shared" si="16"/>
        <v>792910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10222954</v>
      </c>
      <c r="S54" s="150">
        <f t="shared" si="16"/>
        <v>4481045</v>
      </c>
      <c r="T54" s="150">
        <f t="shared" si="16"/>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385080</v>
      </c>
      <c r="C56" s="147">
        <v>385080</v>
      </c>
      <c r="D56" s="147"/>
      <c r="E56" s="147">
        <f>C56-SUM(F56:Q56)</f>
        <v>47719</v>
      </c>
      <c r="F56" s="147"/>
      <c r="G56" s="147">
        <f>G108-SUM(G40,G45:G53)</f>
        <v>337361</v>
      </c>
      <c r="H56" s="147"/>
      <c r="I56" s="147"/>
      <c r="J56" s="147"/>
      <c r="K56" s="147"/>
      <c r="L56" s="147"/>
      <c r="M56" s="147"/>
      <c r="N56" s="147"/>
      <c r="O56" s="147"/>
      <c r="P56" s="147"/>
      <c r="Q56" s="147"/>
      <c r="R56" s="516">
        <f t="shared" ref="R56:R61" si="18">SUM(E56:Q56)</f>
        <v>385080</v>
      </c>
      <c r="S56" s="148"/>
      <c r="T56" s="148"/>
      <c r="U56" s="143"/>
    </row>
    <row r="57" spans="1:21" s="192" customFormat="1">
      <c r="A57" s="186" t="s">
        <v>152</v>
      </c>
      <c r="B57" s="193">
        <f t="shared" si="17"/>
        <v>0</v>
      </c>
      <c r="C57" s="190">
        <v>0</v>
      </c>
      <c r="D57" s="190"/>
      <c r="E57" s="190">
        <f t="shared" ref="E57:E61" si="19">C57-SUM(F57:Q57)</f>
        <v>0</v>
      </c>
      <c r="F57" s="190"/>
      <c r="G57" s="190"/>
      <c r="H57" s="190"/>
      <c r="I57" s="190"/>
      <c r="J57" s="190"/>
      <c r="K57" s="190"/>
      <c r="L57" s="190"/>
      <c r="M57" s="190"/>
      <c r="N57" s="190"/>
      <c r="O57" s="190"/>
      <c r="P57" s="190"/>
      <c r="Q57" s="190"/>
      <c r="R57" s="516">
        <f t="shared" si="18"/>
        <v>0</v>
      </c>
      <c r="S57" s="194"/>
      <c r="T57" s="194"/>
      <c r="U57" s="191"/>
    </row>
    <row r="58" spans="1:21" s="144" customFormat="1">
      <c r="A58" s="145" t="s">
        <v>156</v>
      </c>
      <c r="B58" s="146">
        <f t="shared" si="17"/>
        <v>10000</v>
      </c>
      <c r="C58" s="147">
        <v>10000</v>
      </c>
      <c r="D58" s="147"/>
      <c r="E58" s="147">
        <f t="shared" si="19"/>
        <v>10000</v>
      </c>
      <c r="F58" s="147"/>
      <c r="G58" s="147"/>
      <c r="H58" s="147"/>
      <c r="I58" s="147"/>
      <c r="J58" s="147"/>
      <c r="K58" s="147"/>
      <c r="L58" s="147"/>
      <c r="M58" s="147"/>
      <c r="N58" s="147"/>
      <c r="O58" s="147"/>
      <c r="P58" s="147"/>
      <c r="Q58" s="147"/>
      <c r="R58" s="516">
        <f t="shared" si="18"/>
        <v>10000</v>
      </c>
      <c r="S58" s="148"/>
      <c r="T58" s="148"/>
      <c r="U58" s="143"/>
    </row>
    <row r="59" spans="1:21" s="144" customFormat="1">
      <c r="A59" s="283" t="s">
        <v>154</v>
      </c>
      <c r="B59" s="146">
        <f t="shared" si="17"/>
        <v>0</v>
      </c>
      <c r="C59" s="147"/>
      <c r="D59" s="147"/>
      <c r="E59" s="147">
        <f t="shared" si="19"/>
        <v>0</v>
      </c>
      <c r="F59" s="147"/>
      <c r="G59" s="147"/>
      <c r="H59" s="147"/>
      <c r="I59" s="147"/>
      <c r="J59" s="147"/>
      <c r="K59" s="147"/>
      <c r="L59" s="147"/>
      <c r="M59" s="147"/>
      <c r="N59" s="147"/>
      <c r="O59" s="147"/>
      <c r="P59" s="147"/>
      <c r="Q59" s="147"/>
      <c r="R59" s="516">
        <f t="shared" si="18"/>
        <v>0</v>
      </c>
      <c r="S59" s="148"/>
      <c r="T59" s="148"/>
      <c r="U59" s="143"/>
    </row>
    <row r="60" spans="1:21" s="144" customFormat="1">
      <c r="A60" s="145" t="s">
        <v>155</v>
      </c>
      <c r="B60" s="146">
        <f t="shared" si="17"/>
        <v>0</v>
      </c>
      <c r="C60" s="147"/>
      <c r="D60" s="147"/>
      <c r="E60" s="147">
        <f t="shared" si="19"/>
        <v>0</v>
      </c>
      <c r="F60" s="147"/>
      <c r="G60" s="147"/>
      <c r="H60" s="147"/>
      <c r="I60" s="147"/>
      <c r="J60" s="147"/>
      <c r="K60" s="147"/>
      <c r="L60" s="147"/>
      <c r="M60" s="147"/>
      <c r="N60" s="147"/>
      <c r="O60" s="147"/>
      <c r="P60" s="147"/>
      <c r="Q60" s="147"/>
      <c r="R60" s="516">
        <f t="shared" si="18"/>
        <v>0</v>
      </c>
      <c r="S60" s="148"/>
      <c r="T60" s="148"/>
      <c r="U60" s="143"/>
    </row>
    <row r="61" spans="1:21" s="144" customFormat="1">
      <c r="A61" s="1149" t="s">
        <v>2732</v>
      </c>
      <c r="B61" s="146">
        <f t="shared" si="17"/>
        <v>15000</v>
      </c>
      <c r="C61" s="147">
        <v>15000</v>
      </c>
      <c r="D61" s="147"/>
      <c r="E61" s="147">
        <f t="shared" si="19"/>
        <v>15000</v>
      </c>
      <c r="F61" s="147"/>
      <c r="G61" s="147"/>
      <c r="H61" s="147"/>
      <c r="I61" s="147"/>
      <c r="J61" s="147"/>
      <c r="K61" s="147"/>
      <c r="L61" s="147"/>
      <c r="M61" s="147"/>
      <c r="N61" s="147"/>
      <c r="O61" s="147"/>
      <c r="P61" s="147"/>
      <c r="Q61" s="147"/>
      <c r="R61" s="516">
        <f t="shared" si="18"/>
        <v>15000</v>
      </c>
      <c r="S61" s="148"/>
      <c r="T61" s="148"/>
      <c r="U61" s="143"/>
    </row>
    <row r="62" spans="1:21" s="144" customFormat="1" ht="13.75" customHeight="1">
      <c r="A62" s="149" t="s">
        <v>300</v>
      </c>
      <c r="B62" s="146">
        <f>SUM(C62:D62)</f>
        <v>410080</v>
      </c>
      <c r="C62" s="146">
        <f t="shared" ref="C62:R62" si="20">SUM(C56:C61)</f>
        <v>410080</v>
      </c>
      <c r="D62" s="146">
        <f t="shared" si="20"/>
        <v>0</v>
      </c>
      <c r="E62" s="146">
        <f t="shared" si="20"/>
        <v>72719</v>
      </c>
      <c r="F62" s="146">
        <f t="shared" si="20"/>
        <v>0</v>
      </c>
      <c r="G62" s="146">
        <f t="shared" si="20"/>
        <v>337361</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410080</v>
      </c>
      <c r="S62" s="148"/>
      <c r="T62" s="148"/>
      <c r="U62" s="143"/>
    </row>
    <row r="63" spans="1:21" s="144" customFormat="1">
      <c r="A63" s="154" t="s">
        <v>301</v>
      </c>
      <c r="B63" s="146">
        <f t="shared" ref="B63:R63" si="21">SUM(B8+B11+B13+B14+B15+B26+B27+B38+B42+B43+B54+B62)</f>
        <v>90097682</v>
      </c>
      <c r="C63" s="146">
        <f t="shared" si="21"/>
        <v>90097682</v>
      </c>
      <c r="D63" s="146">
        <f t="shared" si="21"/>
        <v>0</v>
      </c>
      <c r="E63" s="146">
        <f t="shared" si="21"/>
        <v>54089682</v>
      </c>
      <c r="F63" s="146">
        <f t="shared" si="21"/>
        <v>25508000</v>
      </c>
      <c r="G63" s="146">
        <f t="shared" si="21"/>
        <v>2500000</v>
      </c>
      <c r="H63" s="146">
        <f t="shared" si="21"/>
        <v>5000000</v>
      </c>
      <c r="I63" s="146">
        <f t="shared" si="21"/>
        <v>3000000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90097682</v>
      </c>
      <c r="S63" s="146">
        <f>SUM(S10+S13+S14+S15+S26+S27+S38+S42+S43+S54)</f>
        <v>81711338</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f>C65-SUM(F65:Q65)</f>
        <v>115000</v>
      </c>
      <c r="F65" s="147"/>
      <c r="G65" s="147"/>
      <c r="H65" s="147"/>
      <c r="I65" s="147"/>
      <c r="J65" s="147"/>
      <c r="K65" s="147"/>
      <c r="L65" s="147"/>
      <c r="M65" s="147"/>
      <c r="N65" s="147"/>
      <c r="O65" s="147"/>
      <c r="P65" s="147"/>
      <c r="Q65" s="147"/>
      <c r="R65" s="516">
        <f>SUM(E65:Q65)</f>
        <v>115000</v>
      </c>
      <c r="S65" s="147">
        <v>30223</v>
      </c>
      <c r="T65" s="147"/>
      <c r="U65" s="143"/>
    </row>
    <row r="66" spans="1:21" s="144" customFormat="1" ht="24" customHeight="1">
      <c r="A66" s="283" t="s">
        <v>1641</v>
      </c>
      <c r="B66" s="146">
        <f>SUM(C66+D66)</f>
        <v>0</v>
      </c>
      <c r="C66" s="147"/>
      <c r="D66" s="147"/>
      <c r="E66" s="147">
        <f t="shared" ref="E66:E69" si="22">C66-SUM(F66:Q66)</f>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f t="shared" si="22"/>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2"/>
        <v>0</v>
      </c>
      <c r="F68" s="147"/>
      <c r="G68" s="147"/>
      <c r="H68" s="147"/>
      <c r="I68" s="147"/>
      <c r="J68" s="147"/>
      <c r="K68" s="147"/>
      <c r="L68" s="147"/>
      <c r="M68" s="147"/>
      <c r="N68" s="147"/>
      <c r="O68" s="147"/>
      <c r="P68" s="147"/>
      <c r="Q68" s="147"/>
      <c r="R68" s="516">
        <f>SUM(E68:Q68)</f>
        <v>0</v>
      </c>
      <c r="S68" s="147"/>
      <c r="T68" s="147"/>
      <c r="U68" s="143"/>
    </row>
    <row r="69" spans="1:21" s="144" customFormat="1">
      <c r="A69" s="1149" t="s">
        <v>2733</v>
      </c>
      <c r="B69" s="146">
        <f>SUM(C69+D69)</f>
        <v>120000</v>
      </c>
      <c r="C69" s="147">
        <v>120000</v>
      </c>
      <c r="D69" s="147"/>
      <c r="E69" s="147">
        <f t="shared" si="22"/>
        <v>120000</v>
      </c>
      <c r="F69" s="147"/>
      <c r="G69" s="147"/>
      <c r="H69" s="147"/>
      <c r="I69" s="147"/>
      <c r="J69" s="147"/>
      <c r="K69" s="147"/>
      <c r="L69" s="147"/>
      <c r="M69" s="147"/>
      <c r="N69" s="147"/>
      <c r="O69" s="147"/>
      <c r="P69" s="147"/>
      <c r="Q69" s="147"/>
      <c r="R69" s="516">
        <f>SUM(E69:Q69)</f>
        <v>120000</v>
      </c>
      <c r="S69" s="147">
        <v>95000</v>
      </c>
      <c r="T69" s="147"/>
      <c r="U69" s="143"/>
    </row>
    <row r="70" spans="1:21" s="144" customFormat="1">
      <c r="A70" s="149" t="s">
        <v>1645</v>
      </c>
      <c r="B70" s="146">
        <f>SUM(C70:D70)</f>
        <v>235000</v>
      </c>
      <c r="C70" s="146">
        <f>SUM(C65:C69)</f>
        <v>235000</v>
      </c>
      <c r="D70" s="146">
        <f>SUM(D65:D69)</f>
        <v>0</v>
      </c>
      <c r="E70" s="146">
        <f t="shared" ref="E70:T70" si="23">SUM(E65:E69)</f>
        <v>235000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235000</v>
      </c>
      <c r="S70" s="150">
        <f t="shared" si="23"/>
        <v>125223</v>
      </c>
      <c r="T70" s="150">
        <f t="shared" si="23"/>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C72-SUM(F72:Q72)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ref="E73:E76" si="24">C73-SUM(F73:Q73)</f>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4"/>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1633624</v>
      </c>
      <c r="C75" s="147">
        <v>1633624</v>
      </c>
      <c r="D75" s="147"/>
      <c r="E75" s="147">
        <f t="shared" si="24"/>
        <v>1633624</v>
      </c>
      <c r="F75" s="147"/>
      <c r="G75" s="147"/>
      <c r="H75" s="147"/>
      <c r="I75" s="147"/>
      <c r="J75" s="147"/>
      <c r="K75" s="147"/>
      <c r="L75" s="147"/>
      <c r="M75" s="147"/>
      <c r="N75" s="147"/>
      <c r="O75" s="147"/>
      <c r="P75" s="147"/>
      <c r="Q75" s="147"/>
      <c r="R75" s="516">
        <f>SUM(E75:Q75)</f>
        <v>1633624</v>
      </c>
      <c r="S75" s="148"/>
      <c r="T75" s="148"/>
      <c r="U75" s="143"/>
    </row>
    <row r="76" spans="1:21" s="144" customFormat="1">
      <c r="A76" s="1149" t="s">
        <v>34</v>
      </c>
      <c r="B76" s="146">
        <f>SUM(C76+D76)</f>
        <v>0</v>
      </c>
      <c r="C76" s="147"/>
      <c r="D76" s="147"/>
      <c r="E76" s="147">
        <f t="shared" si="24"/>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1633624</v>
      </c>
      <c r="C77" s="146">
        <f>SUM(C72:C76)</f>
        <v>1633624</v>
      </c>
      <c r="D77" s="146">
        <f>SUM(D72:D76)</f>
        <v>0</v>
      </c>
      <c r="E77" s="146">
        <f t="shared" ref="E77:Q77" si="25">SUM(E72:E76)</f>
        <v>1633624</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1633624</v>
      </c>
      <c r="S77" s="148"/>
      <c r="T77" s="148"/>
      <c r="U77" s="143"/>
    </row>
    <row r="78" spans="1:21" s="144" customFormat="1" ht="12">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3729577</v>
      </c>
      <c r="C79" s="147">
        <v>3729577</v>
      </c>
      <c r="D79" s="147"/>
      <c r="E79" s="147">
        <f>C79-SUM(F79:Q79)</f>
        <v>3729577</v>
      </c>
      <c r="F79" s="147"/>
      <c r="G79" s="147"/>
      <c r="H79" s="147"/>
      <c r="I79" s="147"/>
      <c r="J79" s="147"/>
      <c r="K79" s="147"/>
      <c r="L79" s="147"/>
      <c r="M79" s="147"/>
      <c r="N79" s="147"/>
      <c r="O79" s="147"/>
      <c r="P79" s="147"/>
      <c r="Q79" s="147"/>
      <c r="R79" s="516">
        <f>SUM(E79:Q79)</f>
        <v>3729577</v>
      </c>
      <c r="S79" s="147">
        <f>R79</f>
        <v>3729577</v>
      </c>
      <c r="T79" s="147"/>
      <c r="U79" s="143"/>
    </row>
    <row r="80" spans="1:21" s="144" customFormat="1">
      <c r="A80" s="283" t="s">
        <v>58</v>
      </c>
      <c r="B80" s="146">
        <f>SUM(C80:D80)</f>
        <v>338978</v>
      </c>
      <c r="C80" s="147">
        <v>338978</v>
      </c>
      <c r="D80" s="147"/>
      <c r="E80" s="147">
        <f>C80-SUM(F80:Q80)</f>
        <v>338978</v>
      </c>
      <c r="F80" s="147"/>
      <c r="G80" s="147"/>
      <c r="H80" s="147"/>
      <c r="I80" s="147"/>
      <c r="J80" s="147"/>
      <c r="K80" s="147"/>
      <c r="L80" s="147"/>
      <c r="M80" s="147"/>
      <c r="N80" s="147"/>
      <c r="O80" s="147"/>
      <c r="P80" s="147"/>
      <c r="Q80" s="147"/>
      <c r="R80" s="516">
        <f>SUM(E80:Q80)</f>
        <v>338978</v>
      </c>
      <c r="S80" s="147">
        <f>R80-25000</f>
        <v>313978</v>
      </c>
      <c r="T80" s="147"/>
      <c r="U80" s="143"/>
    </row>
    <row r="81" spans="1:21" s="144" customFormat="1">
      <c r="A81" s="149" t="s">
        <v>1209</v>
      </c>
      <c r="B81" s="146">
        <f>SUM(C81:D81)</f>
        <v>4068555</v>
      </c>
      <c r="C81" s="509">
        <f>SUM(C79:C80)</f>
        <v>4068555</v>
      </c>
      <c r="D81" s="509">
        <f t="shared" ref="D81:T81" si="26">SUM(D79:D80)</f>
        <v>0</v>
      </c>
      <c r="E81" s="509">
        <f t="shared" si="26"/>
        <v>4068555</v>
      </c>
      <c r="F81" s="509">
        <f t="shared" si="26"/>
        <v>0</v>
      </c>
      <c r="G81" s="509">
        <f t="shared" si="26"/>
        <v>0</v>
      </c>
      <c r="H81" s="509">
        <f t="shared" si="26"/>
        <v>0</v>
      </c>
      <c r="I81" s="509">
        <f t="shared" si="26"/>
        <v>0</v>
      </c>
      <c r="J81" s="509">
        <f t="shared" si="26"/>
        <v>0</v>
      </c>
      <c r="K81" s="509">
        <f t="shared" si="26"/>
        <v>0</v>
      </c>
      <c r="L81" s="509">
        <f t="shared" si="26"/>
        <v>0</v>
      </c>
      <c r="M81" s="509">
        <f t="shared" si="26"/>
        <v>0</v>
      </c>
      <c r="N81" s="509">
        <f t="shared" si="26"/>
        <v>0</v>
      </c>
      <c r="O81" s="509">
        <f t="shared" si="26"/>
        <v>0</v>
      </c>
      <c r="P81" s="509">
        <f t="shared" si="26"/>
        <v>0</v>
      </c>
      <c r="Q81" s="509">
        <f t="shared" si="26"/>
        <v>0</v>
      </c>
      <c r="R81" s="509">
        <f t="shared" si="26"/>
        <v>4068555</v>
      </c>
      <c r="S81" s="509">
        <f t="shared" si="26"/>
        <v>4043555</v>
      </c>
      <c r="T81" s="509">
        <f t="shared" si="26"/>
        <v>0</v>
      </c>
      <c r="U81" s="143"/>
    </row>
    <row r="82" spans="1:21" s="144" customFormat="1" ht="12">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27">SUM(C83+D83)</f>
        <v>144986</v>
      </c>
      <c r="C83" s="147">
        <v>144986</v>
      </c>
      <c r="D83" s="147"/>
      <c r="E83" s="147">
        <f>C83-SUM(F83:Q83)</f>
        <v>144986</v>
      </c>
      <c r="F83" s="147"/>
      <c r="G83" s="147"/>
      <c r="H83" s="147"/>
      <c r="I83" s="147"/>
      <c r="J83" s="147"/>
      <c r="K83" s="147"/>
      <c r="L83" s="147"/>
      <c r="M83" s="147"/>
      <c r="N83" s="147"/>
      <c r="O83" s="147"/>
      <c r="P83" s="147"/>
      <c r="Q83" s="147"/>
      <c r="R83" s="516">
        <f t="shared" ref="R83:R95" si="28">SUM(E83:Q83)</f>
        <v>144986</v>
      </c>
      <c r="S83" s="148"/>
      <c r="T83" s="148"/>
      <c r="U83" s="143"/>
    </row>
    <row r="84" spans="1:21" s="144" customFormat="1">
      <c r="A84" s="145" t="s">
        <v>767</v>
      </c>
      <c r="B84" s="146">
        <f t="shared" si="27"/>
        <v>292510</v>
      </c>
      <c r="C84" s="147">
        <v>292510</v>
      </c>
      <c r="D84" s="147"/>
      <c r="E84" s="147">
        <f t="shared" ref="E84:E95" si="29">C84-SUM(F84:Q84)</f>
        <v>292510</v>
      </c>
      <c r="F84" s="147"/>
      <c r="G84" s="147"/>
      <c r="H84" s="147"/>
      <c r="I84" s="147"/>
      <c r="J84" s="147"/>
      <c r="K84" s="147"/>
      <c r="L84" s="147"/>
      <c r="M84" s="147"/>
      <c r="N84" s="147"/>
      <c r="O84" s="147"/>
      <c r="P84" s="147"/>
      <c r="Q84" s="147"/>
      <c r="R84" s="516">
        <f t="shared" si="28"/>
        <v>292510</v>
      </c>
      <c r="S84" s="147">
        <f>R84</f>
        <v>292510</v>
      </c>
      <c r="T84" s="147"/>
      <c r="U84" s="143"/>
    </row>
    <row r="85" spans="1:21" s="144" customFormat="1">
      <c r="A85" s="145" t="s">
        <v>768</v>
      </c>
      <c r="B85" s="146">
        <f t="shared" si="27"/>
        <v>1137158</v>
      </c>
      <c r="C85" s="147">
        <v>1137158</v>
      </c>
      <c r="D85" s="147"/>
      <c r="E85" s="147">
        <f t="shared" si="29"/>
        <v>1137158</v>
      </c>
      <c r="F85" s="147"/>
      <c r="G85" s="147"/>
      <c r="H85" s="147"/>
      <c r="I85" s="147"/>
      <c r="J85" s="147"/>
      <c r="K85" s="147"/>
      <c r="L85" s="147"/>
      <c r="M85" s="147"/>
      <c r="N85" s="147"/>
      <c r="O85" s="147"/>
      <c r="P85" s="147"/>
      <c r="Q85" s="147"/>
      <c r="R85" s="516">
        <f t="shared" si="28"/>
        <v>1137158</v>
      </c>
      <c r="S85" s="147">
        <f>R85</f>
        <v>1137158</v>
      </c>
      <c r="T85" s="147"/>
      <c r="U85" s="143"/>
    </row>
    <row r="86" spans="1:21" s="144" customFormat="1">
      <c r="A86" s="145" t="s">
        <v>769</v>
      </c>
      <c r="B86" s="146">
        <f t="shared" si="27"/>
        <v>300000</v>
      </c>
      <c r="C86" s="147">
        <v>300000</v>
      </c>
      <c r="D86" s="147"/>
      <c r="E86" s="147">
        <f t="shared" si="29"/>
        <v>300000</v>
      </c>
      <c r="F86" s="147"/>
      <c r="G86" s="147"/>
      <c r="H86" s="147"/>
      <c r="I86" s="147"/>
      <c r="J86" s="147"/>
      <c r="K86" s="147"/>
      <c r="L86" s="147"/>
      <c r="M86" s="147"/>
      <c r="N86" s="147"/>
      <c r="O86" s="147"/>
      <c r="P86" s="147"/>
      <c r="Q86" s="147"/>
      <c r="R86" s="516">
        <f t="shared" si="28"/>
        <v>300000</v>
      </c>
      <c r="S86" s="147">
        <f>R86</f>
        <v>300000</v>
      </c>
      <c r="T86" s="147"/>
      <c r="U86" s="143"/>
    </row>
    <row r="87" spans="1:21" s="144" customFormat="1">
      <c r="A87" s="145" t="s">
        <v>770</v>
      </c>
      <c r="B87" s="146">
        <f t="shared" si="27"/>
        <v>0</v>
      </c>
      <c r="C87" s="147">
        <v>0</v>
      </c>
      <c r="D87" s="147"/>
      <c r="E87" s="147">
        <f t="shared" si="29"/>
        <v>0</v>
      </c>
      <c r="F87" s="147"/>
      <c r="G87" s="147"/>
      <c r="H87" s="147"/>
      <c r="I87" s="147"/>
      <c r="J87" s="147"/>
      <c r="K87" s="147"/>
      <c r="L87" s="147"/>
      <c r="M87" s="147"/>
      <c r="N87" s="147"/>
      <c r="O87" s="147"/>
      <c r="P87" s="147"/>
      <c r="Q87" s="147"/>
      <c r="R87" s="516">
        <f t="shared" si="28"/>
        <v>0</v>
      </c>
      <c r="S87" s="147"/>
      <c r="T87" s="147"/>
      <c r="U87" s="143"/>
    </row>
    <row r="88" spans="1:21" s="144" customFormat="1">
      <c r="A88" s="145" t="s">
        <v>771</v>
      </c>
      <c r="B88" s="146">
        <f t="shared" si="27"/>
        <v>805094</v>
      </c>
      <c r="C88" s="147">
        <v>805094</v>
      </c>
      <c r="D88" s="147"/>
      <c r="E88" s="147">
        <f t="shared" si="29"/>
        <v>805094</v>
      </c>
      <c r="F88" s="147"/>
      <c r="G88" s="147"/>
      <c r="H88" s="147"/>
      <c r="I88" s="147"/>
      <c r="J88" s="147"/>
      <c r="K88" s="147"/>
      <c r="L88" s="147"/>
      <c r="M88" s="147"/>
      <c r="N88" s="147"/>
      <c r="O88" s="147"/>
      <c r="P88" s="147"/>
      <c r="Q88" s="147"/>
      <c r="R88" s="516">
        <f t="shared" si="28"/>
        <v>805094</v>
      </c>
      <c r="S88" s="148"/>
      <c r="T88" s="148"/>
      <c r="U88" s="143"/>
    </row>
    <row r="89" spans="1:21" s="144" customFormat="1">
      <c r="A89" s="145" t="s">
        <v>772</v>
      </c>
      <c r="B89" s="146">
        <f t="shared" si="27"/>
        <v>139500</v>
      </c>
      <c r="C89" s="147">
        <v>139500</v>
      </c>
      <c r="D89" s="147"/>
      <c r="E89" s="147">
        <f t="shared" si="29"/>
        <v>139500</v>
      </c>
      <c r="F89" s="147"/>
      <c r="G89" s="147"/>
      <c r="H89" s="147"/>
      <c r="I89" s="147"/>
      <c r="J89" s="147"/>
      <c r="K89" s="147"/>
      <c r="L89" s="147"/>
      <c r="M89" s="147"/>
      <c r="N89" s="147"/>
      <c r="O89" s="147"/>
      <c r="P89" s="147"/>
      <c r="Q89" s="147"/>
      <c r="R89" s="516">
        <f t="shared" si="28"/>
        <v>139500</v>
      </c>
      <c r="S89" s="147">
        <f>R89</f>
        <v>139500</v>
      </c>
      <c r="T89" s="147"/>
      <c r="U89" s="143"/>
    </row>
    <row r="90" spans="1:21" s="144" customFormat="1">
      <c r="A90" s="145" t="s">
        <v>773</v>
      </c>
      <c r="B90" s="146">
        <f t="shared" si="27"/>
        <v>0</v>
      </c>
      <c r="C90" s="147">
        <v>0</v>
      </c>
      <c r="D90" s="147"/>
      <c r="E90" s="147">
        <f t="shared" si="29"/>
        <v>0</v>
      </c>
      <c r="F90" s="147"/>
      <c r="G90" s="147"/>
      <c r="H90" s="147"/>
      <c r="I90" s="147"/>
      <c r="J90" s="147"/>
      <c r="K90" s="147"/>
      <c r="L90" s="147"/>
      <c r="M90" s="147"/>
      <c r="N90" s="147"/>
      <c r="O90" s="147"/>
      <c r="P90" s="147"/>
      <c r="Q90" s="147"/>
      <c r="R90" s="516">
        <f t="shared" si="28"/>
        <v>0</v>
      </c>
      <c r="S90" s="147"/>
      <c r="T90" s="147"/>
      <c r="U90" s="143"/>
    </row>
    <row r="91" spans="1:21" s="144" customFormat="1">
      <c r="A91" s="145" t="s">
        <v>371</v>
      </c>
      <c r="B91" s="146">
        <f t="shared" si="27"/>
        <v>0</v>
      </c>
      <c r="C91" s="147">
        <v>0</v>
      </c>
      <c r="D91" s="147"/>
      <c r="E91" s="147">
        <f t="shared" si="29"/>
        <v>0</v>
      </c>
      <c r="F91" s="147"/>
      <c r="G91" s="147"/>
      <c r="H91" s="147"/>
      <c r="I91" s="147"/>
      <c r="J91" s="147"/>
      <c r="K91" s="147"/>
      <c r="L91" s="147"/>
      <c r="M91" s="147"/>
      <c r="N91" s="147"/>
      <c r="O91" s="147"/>
      <c r="P91" s="147"/>
      <c r="Q91" s="147"/>
      <c r="R91" s="516">
        <f t="shared" si="28"/>
        <v>0</v>
      </c>
      <c r="S91" s="147"/>
      <c r="T91" s="147"/>
      <c r="U91" s="143"/>
    </row>
    <row r="92" spans="1:21" s="144" customFormat="1">
      <c r="A92" s="283" t="s">
        <v>1211</v>
      </c>
      <c r="B92" s="146">
        <f t="shared" si="27"/>
        <v>20000</v>
      </c>
      <c r="C92" s="147">
        <v>20000</v>
      </c>
      <c r="D92" s="147"/>
      <c r="E92" s="147">
        <f t="shared" si="29"/>
        <v>20000</v>
      </c>
      <c r="F92" s="147"/>
      <c r="G92" s="147"/>
      <c r="H92" s="147"/>
      <c r="I92" s="147"/>
      <c r="J92" s="147"/>
      <c r="K92" s="147"/>
      <c r="L92" s="147"/>
      <c r="M92" s="147"/>
      <c r="N92" s="147"/>
      <c r="O92" s="147"/>
      <c r="P92" s="147"/>
      <c r="Q92" s="147"/>
      <c r="R92" s="516">
        <f t="shared" si="28"/>
        <v>20000</v>
      </c>
      <c r="S92" s="147">
        <f>R92</f>
        <v>20000</v>
      </c>
      <c r="T92" s="147"/>
      <c r="U92" s="143"/>
    </row>
    <row r="93" spans="1:21" s="144" customFormat="1">
      <c r="A93" s="1149" t="s">
        <v>34</v>
      </c>
      <c r="B93" s="146">
        <f t="shared" si="27"/>
        <v>0</v>
      </c>
      <c r="C93" s="147"/>
      <c r="D93" s="147"/>
      <c r="E93" s="147">
        <f t="shared" si="29"/>
        <v>0</v>
      </c>
      <c r="F93" s="147"/>
      <c r="G93" s="147"/>
      <c r="H93" s="147"/>
      <c r="I93" s="147"/>
      <c r="J93" s="147"/>
      <c r="K93" s="147"/>
      <c r="L93" s="147"/>
      <c r="M93" s="147"/>
      <c r="N93" s="147"/>
      <c r="O93" s="147"/>
      <c r="P93" s="147"/>
      <c r="Q93" s="147"/>
      <c r="R93" s="516">
        <f t="shared" si="28"/>
        <v>0</v>
      </c>
      <c r="S93" s="147"/>
      <c r="T93" s="147"/>
      <c r="U93" s="143"/>
    </row>
    <row r="94" spans="1:21" s="144" customFormat="1">
      <c r="A94" s="1149" t="s">
        <v>34</v>
      </c>
      <c r="B94" s="146">
        <f t="shared" si="27"/>
        <v>0</v>
      </c>
      <c r="C94" s="147">
        <v>0</v>
      </c>
      <c r="D94" s="147"/>
      <c r="E94" s="147">
        <f t="shared" si="29"/>
        <v>0</v>
      </c>
      <c r="F94" s="147"/>
      <c r="G94" s="147"/>
      <c r="H94" s="147"/>
      <c r="I94" s="147"/>
      <c r="J94" s="147"/>
      <c r="K94" s="147"/>
      <c r="L94" s="147"/>
      <c r="M94" s="147"/>
      <c r="N94" s="147"/>
      <c r="O94" s="147"/>
      <c r="P94" s="147"/>
      <c r="Q94" s="147"/>
      <c r="R94" s="516">
        <f t="shared" si="28"/>
        <v>0</v>
      </c>
      <c r="S94" s="147"/>
      <c r="T94" s="147"/>
      <c r="U94" s="143"/>
    </row>
    <row r="95" spans="1:21" s="144" customFormat="1">
      <c r="A95" s="1149" t="s">
        <v>34</v>
      </c>
      <c r="B95" s="146">
        <f t="shared" si="27"/>
        <v>0</v>
      </c>
      <c r="C95" s="147">
        <v>0</v>
      </c>
      <c r="D95" s="147"/>
      <c r="E95" s="147">
        <f t="shared" si="29"/>
        <v>0</v>
      </c>
      <c r="F95" s="147"/>
      <c r="G95" s="147"/>
      <c r="H95" s="147"/>
      <c r="I95" s="147"/>
      <c r="J95" s="147"/>
      <c r="K95" s="147"/>
      <c r="L95" s="147"/>
      <c r="M95" s="147"/>
      <c r="N95" s="147"/>
      <c r="O95" s="147"/>
      <c r="P95" s="147"/>
      <c r="Q95" s="147"/>
      <c r="R95" s="516">
        <f t="shared" si="28"/>
        <v>0</v>
      </c>
      <c r="S95" s="147"/>
      <c r="T95" s="147"/>
      <c r="U95" s="143"/>
    </row>
    <row r="96" spans="1:21" s="144" customFormat="1">
      <c r="A96" s="149" t="s">
        <v>774</v>
      </c>
      <c r="B96" s="146">
        <f>SUM(C96:D96)</f>
        <v>2839248</v>
      </c>
      <c r="C96" s="146">
        <f t="shared" ref="C96:R96" si="30">SUM(C83:C95)</f>
        <v>2839248</v>
      </c>
      <c r="D96" s="146">
        <f t="shared" si="30"/>
        <v>0</v>
      </c>
      <c r="E96" s="146">
        <f t="shared" si="30"/>
        <v>2839248</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42">
        <f t="shared" si="30"/>
        <v>2839248</v>
      </c>
      <c r="S96" s="150">
        <f>SUM(S84:S87,S89:S95)</f>
        <v>1889168</v>
      </c>
      <c r="T96" s="146">
        <f>SUM(T84:T87,T89:T95)</f>
        <v>0</v>
      </c>
      <c r="U96" s="143"/>
    </row>
    <row r="97" spans="1:21" s="144" customFormat="1">
      <c r="A97" s="149" t="s">
        <v>775</v>
      </c>
      <c r="B97" s="146">
        <f>SUM(C97:D97)</f>
        <v>98874109</v>
      </c>
      <c r="C97" s="146">
        <f t="shared" ref="C97:R97" si="31">SUM(C63+C70+C77+C81+C96)</f>
        <v>98874109</v>
      </c>
      <c r="D97" s="146">
        <f t="shared" si="31"/>
        <v>0</v>
      </c>
      <c r="E97" s="146">
        <f t="shared" si="31"/>
        <v>62866109</v>
      </c>
      <c r="F97" s="146">
        <f t="shared" si="31"/>
        <v>25508000</v>
      </c>
      <c r="G97" s="146">
        <f t="shared" si="31"/>
        <v>2500000</v>
      </c>
      <c r="H97" s="146">
        <f t="shared" si="31"/>
        <v>5000000</v>
      </c>
      <c r="I97" s="146">
        <f t="shared" si="31"/>
        <v>3000000</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98874109</v>
      </c>
      <c r="S97" s="146">
        <f>SUM(S63+S70+S81+S96)</f>
        <v>87769284</v>
      </c>
      <c r="T97" s="146">
        <f>SUM(T63+T70+T81+T96)</f>
        <v>0</v>
      </c>
      <c r="U97" s="143"/>
    </row>
    <row r="98" spans="1:21" s="144" customFormat="1" ht="12">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13165392</v>
      </c>
      <c r="C99" s="979">
        <v>13165392</v>
      </c>
      <c r="D99" s="979"/>
      <c r="E99" s="979">
        <f>C99-SUM(F99:Q99)</f>
        <v>5000000</v>
      </c>
      <c r="F99" s="147"/>
      <c r="G99" s="147"/>
      <c r="H99" s="147"/>
      <c r="I99" s="147"/>
      <c r="J99" s="147">
        <v>8165392</v>
      </c>
      <c r="K99" s="147"/>
      <c r="L99" s="147"/>
      <c r="M99" s="147"/>
      <c r="N99" s="147"/>
      <c r="O99" s="147"/>
      <c r="P99" s="147"/>
      <c r="Q99" s="147"/>
      <c r="R99" s="516">
        <f>SUM(E99:Q99)</f>
        <v>13165392</v>
      </c>
      <c r="S99" s="147">
        <f>R99</f>
        <v>13165392</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13165392</v>
      </c>
      <c r="C104" s="146">
        <f>SUM(C99:C103)</f>
        <v>13165392</v>
      </c>
      <c r="D104" s="146">
        <f t="shared" ref="D104:T104" si="32">SUM(D99:D103)</f>
        <v>0</v>
      </c>
      <c r="E104" s="146">
        <f t="shared" si="32"/>
        <v>5000000</v>
      </c>
      <c r="F104" s="146">
        <f t="shared" si="32"/>
        <v>0</v>
      </c>
      <c r="G104" s="146">
        <f t="shared" si="32"/>
        <v>0</v>
      </c>
      <c r="H104" s="146">
        <f t="shared" si="32"/>
        <v>0</v>
      </c>
      <c r="I104" s="146">
        <f t="shared" si="32"/>
        <v>0</v>
      </c>
      <c r="J104" s="146">
        <f t="shared" si="32"/>
        <v>8165392</v>
      </c>
      <c r="K104" s="146">
        <f t="shared" si="32"/>
        <v>0</v>
      </c>
      <c r="L104" s="146">
        <f t="shared" si="32"/>
        <v>0</v>
      </c>
      <c r="M104" s="146">
        <f t="shared" si="32"/>
        <v>0</v>
      </c>
      <c r="N104" s="146">
        <f t="shared" si="32"/>
        <v>0</v>
      </c>
      <c r="O104" s="146">
        <f t="shared" si="32"/>
        <v>0</v>
      </c>
      <c r="P104" s="146">
        <f t="shared" si="32"/>
        <v>0</v>
      </c>
      <c r="Q104" s="146">
        <f t="shared" si="32"/>
        <v>0</v>
      </c>
      <c r="R104" s="342">
        <f t="shared" si="32"/>
        <v>13165392</v>
      </c>
      <c r="S104" s="150">
        <f t="shared" si="32"/>
        <v>13165392</v>
      </c>
      <c r="T104" s="150">
        <f t="shared" si="32"/>
        <v>0</v>
      </c>
      <c r="U104" s="143"/>
    </row>
    <row r="105" spans="1:21" s="144" customFormat="1">
      <c r="A105" s="149" t="s">
        <v>780</v>
      </c>
      <c r="B105" s="150">
        <f>SUM(C105:D105)</f>
        <v>112039501</v>
      </c>
      <c r="C105" s="150">
        <f t="shared" ref="C105:R105" si="33">SUM(C97+C104)</f>
        <v>112039501</v>
      </c>
      <c r="D105" s="150">
        <f t="shared" si="33"/>
        <v>0</v>
      </c>
      <c r="E105" s="150">
        <f t="shared" si="33"/>
        <v>67866109</v>
      </c>
      <c r="F105" s="150">
        <f t="shared" si="33"/>
        <v>25508000</v>
      </c>
      <c r="G105" s="150">
        <f t="shared" si="33"/>
        <v>2500000</v>
      </c>
      <c r="H105" s="150">
        <f t="shared" si="33"/>
        <v>5000000</v>
      </c>
      <c r="I105" s="150">
        <f t="shared" si="33"/>
        <v>3000000</v>
      </c>
      <c r="J105" s="150">
        <f t="shared" si="33"/>
        <v>8165392</v>
      </c>
      <c r="K105" s="150">
        <f t="shared" si="33"/>
        <v>0</v>
      </c>
      <c r="L105" s="150">
        <f t="shared" si="33"/>
        <v>0</v>
      </c>
      <c r="M105" s="150">
        <f t="shared" si="33"/>
        <v>0</v>
      </c>
      <c r="N105" s="150">
        <f t="shared" si="33"/>
        <v>0</v>
      </c>
      <c r="O105" s="150">
        <f t="shared" si="33"/>
        <v>0</v>
      </c>
      <c r="P105" s="150">
        <f t="shared" si="33"/>
        <v>0</v>
      </c>
      <c r="Q105" s="150">
        <f t="shared" si="33"/>
        <v>0</v>
      </c>
      <c r="R105" s="342">
        <f t="shared" si="33"/>
        <v>112039501</v>
      </c>
      <c r="S105" s="150">
        <f>S97+S104</f>
        <v>100934676</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100934676</v>
      </c>
      <c r="T107" s="150">
        <f>T105+T106</f>
        <v>0</v>
      </c>
    </row>
    <row r="108" spans="1:21" s="189" customFormat="1">
      <c r="A108" s="162" t="s">
        <v>879</v>
      </c>
      <c r="B108" s="157"/>
      <c r="C108" s="157"/>
      <c r="D108" s="157"/>
      <c r="E108" s="301">
        <f>Application!AO640</f>
        <v>67866109</v>
      </c>
      <c r="F108" s="301">
        <f>Application!AO627</f>
        <v>25508000</v>
      </c>
      <c r="G108" s="301">
        <f>Application!AO628</f>
        <v>2500000</v>
      </c>
      <c r="H108" s="301">
        <f>Application!AO629</f>
        <v>5000000</v>
      </c>
      <c r="I108" s="301">
        <f>Application!AO630</f>
        <v>3000000</v>
      </c>
      <c r="J108" s="301">
        <f>Application!AO631</f>
        <v>8165392</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0" t="s">
        <v>1224</v>
      </c>
      <c r="E123" s="1788"/>
      <c r="F123" s="1788"/>
      <c r="G123" s="1788"/>
      <c r="H123" s="1788"/>
      <c r="I123" s="1788"/>
      <c r="J123" s="1788"/>
      <c r="K123" s="1788"/>
      <c r="L123" s="1788"/>
      <c r="M123" s="1788"/>
      <c r="N123" s="1788"/>
      <c r="O123" s="1788"/>
      <c r="P123" s="1788"/>
      <c r="Q123" s="1788"/>
      <c r="R123" s="1788"/>
      <c r="S123" s="1788"/>
      <c r="T123" s="324"/>
      <c r="U123" s="326"/>
    </row>
    <row r="124" spans="1:21" ht="12.5">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5">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996</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5">
      <c r="A129" s="117" t="s">
        <v>299</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1000</v>
      </c>
      <c r="E132" s="1871"/>
      <c r="F132" s="1871"/>
      <c r="G132" s="1871"/>
      <c r="H132" s="1871"/>
      <c r="I132" s="117"/>
      <c r="J132" s="1871" t="s">
        <v>1001</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3">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0" workbookViewId="0">
      <selection sqref="A1:J1"/>
    </sheetView>
  </sheetViews>
  <sheetFormatPr defaultColWidth="0" defaultRowHeight="11.5" zeroHeight="1"/>
  <cols>
    <col min="1" max="1" width="32.63281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63281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63281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63281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63281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63281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63281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63281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63281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63281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63281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63281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63281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63281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63281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63281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63281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63281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63281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63281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63281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63281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63281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63281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63281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63281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63281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63281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63281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63281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63281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63281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63281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63281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63281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63281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63281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63281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63281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63281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63281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63281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63281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63281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63281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63281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63281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63281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63281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63281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63281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63281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63281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63281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63281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63281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63281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63281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63281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63281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63281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63281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63281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63281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5" t="s">
        <v>1227</v>
      </c>
      <c r="B1" s="1876"/>
      <c r="C1" s="1876"/>
      <c r="D1" s="1876"/>
      <c r="E1" s="1876"/>
      <c r="F1" s="1876"/>
      <c r="G1" s="1876"/>
      <c r="H1" s="1876"/>
      <c r="I1" s="1876"/>
      <c r="J1" s="1877"/>
      <c r="K1" s="355"/>
    </row>
    <row r="2" spans="1:11" s="401" customFormat="1" ht="69">
      <c r="A2" s="398"/>
      <c r="B2" s="399" t="s">
        <v>1027</v>
      </c>
      <c r="C2" s="399" t="s">
        <v>1229</v>
      </c>
      <c r="D2" s="399" t="s">
        <v>1230</v>
      </c>
      <c r="E2" s="399" t="s">
        <v>1158</v>
      </c>
      <c r="F2" s="399" t="s">
        <v>1231</v>
      </c>
      <c r="G2" s="399" t="s">
        <v>1232</v>
      </c>
      <c r="H2" s="399" t="s">
        <v>1028</v>
      </c>
      <c r="I2" s="399" t="s">
        <v>1233</v>
      </c>
      <c r="J2" s="399" t="s">
        <v>1234</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320000</v>
      </c>
      <c r="C5" s="362"/>
      <c r="D5" s="362"/>
      <c r="E5" s="363"/>
      <c r="F5" s="363"/>
      <c r="G5" s="363"/>
      <c r="H5" s="363"/>
      <c r="I5" s="363"/>
      <c r="J5" s="363"/>
      <c r="K5" s="359"/>
    </row>
    <row r="6" spans="1:11" s="360" customFormat="1">
      <c r="A6" s="364" t="s">
        <v>29</v>
      </c>
      <c r="B6" s="361">
        <f>'Sources and Uses Budget'!C6</f>
        <v>160574</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480574</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835292</v>
      </c>
      <c r="C10" s="362"/>
      <c r="D10" s="362"/>
      <c r="E10" s="361">
        <f>'Sources and Uses Budget'!S10</f>
        <v>835292</v>
      </c>
      <c r="F10" s="362"/>
      <c r="G10" s="362"/>
      <c r="H10" s="361">
        <f>'Sources and Uses Budget'!T10</f>
        <v>0</v>
      </c>
      <c r="I10" s="362"/>
      <c r="J10" s="362"/>
      <c r="K10" s="359"/>
    </row>
    <row r="11" spans="1:11" s="360" customFormat="1">
      <c r="A11" s="365" t="s">
        <v>596</v>
      </c>
      <c r="B11" s="361">
        <f>'Sources and Uses Budget'!C11</f>
        <v>835292</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1315866</v>
      </c>
      <c r="C12" s="361">
        <f>SUM(C8+C11)</f>
        <v>0</v>
      </c>
      <c r="D12" s="361">
        <f>SUM(D8+D11)</f>
        <v>0</v>
      </c>
      <c r="E12" s="363"/>
      <c r="F12" s="363"/>
      <c r="G12" s="363"/>
      <c r="H12" s="363"/>
      <c r="I12" s="363"/>
      <c r="J12" s="363"/>
      <c r="K12" s="359"/>
    </row>
    <row r="13" spans="1:11" s="360" customFormat="1">
      <c r="A13" s="366" t="s">
        <v>902</v>
      </c>
      <c r="B13" s="361">
        <f>'Sources and Uses Budget'!C13</f>
        <v>1499448</v>
      </c>
      <c r="C13" s="362"/>
      <c r="D13" s="362"/>
      <c r="E13" s="361">
        <f>'Sources and Uses Budget'!S13</f>
        <v>135667</v>
      </c>
      <c r="F13" s="362"/>
      <c r="G13" s="362"/>
      <c r="H13" s="361">
        <f>'Sources and Uses Budget'!T13</f>
        <v>0</v>
      </c>
      <c r="I13" s="362"/>
      <c r="J13" s="362"/>
      <c r="K13" s="359"/>
    </row>
    <row r="14" spans="1:11" s="360" customFormat="1" ht="23">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f>'Sources and Uses Budget'!$A25</f>
        <v>0</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1710014</v>
      </c>
      <c r="C29" s="362"/>
      <c r="D29" s="362"/>
      <c r="E29" s="361">
        <f>'Sources and Uses Budget'!S29</f>
        <v>1710014</v>
      </c>
      <c r="F29" s="362"/>
      <c r="G29" s="362"/>
      <c r="H29" s="361">
        <f>'Sources and Uses Budget'!T29</f>
        <v>0</v>
      </c>
      <c r="I29" s="362"/>
      <c r="J29" s="362"/>
      <c r="K29" s="359"/>
    </row>
    <row r="30" spans="1:11" s="360" customFormat="1">
      <c r="A30" s="145" t="s">
        <v>599</v>
      </c>
      <c r="B30" s="361">
        <f>'Sources and Uses Budget'!C30</f>
        <v>63954346</v>
      </c>
      <c r="C30" s="362"/>
      <c r="D30" s="362"/>
      <c r="E30" s="361">
        <f>'Sources and Uses Budget'!S30</f>
        <v>63954346</v>
      </c>
      <c r="F30" s="362"/>
      <c r="G30" s="362"/>
      <c r="H30" s="361">
        <f>'Sources and Uses Budget'!T30</f>
        <v>0</v>
      </c>
      <c r="I30" s="362"/>
      <c r="J30" s="362"/>
      <c r="K30" s="359"/>
    </row>
    <row r="31" spans="1:11" s="360" customFormat="1">
      <c r="A31" s="145" t="s">
        <v>600</v>
      </c>
      <c r="B31" s="361">
        <f>'Sources and Uses Budget'!C31</f>
        <v>2824275</v>
      </c>
      <c r="C31" s="362"/>
      <c r="D31" s="362"/>
      <c r="E31" s="361">
        <f>'Sources and Uses Budget'!S31</f>
        <v>2824275</v>
      </c>
      <c r="F31" s="362"/>
      <c r="G31" s="362"/>
      <c r="H31" s="361">
        <f>'Sources and Uses Budget'!T31</f>
        <v>0</v>
      </c>
      <c r="I31" s="362"/>
      <c r="J31" s="362"/>
      <c r="K31" s="359"/>
    </row>
    <row r="32" spans="1:11" s="360" customFormat="1">
      <c r="A32" s="145" t="s">
        <v>137</v>
      </c>
      <c r="B32" s="361">
        <f>'Sources and Uses Budget'!C32</f>
        <v>1679821.5</v>
      </c>
      <c r="C32" s="362"/>
      <c r="D32" s="362"/>
      <c r="E32" s="361">
        <f>'Sources and Uses Budget'!S32</f>
        <v>1679821.5</v>
      </c>
      <c r="F32" s="362"/>
      <c r="G32" s="362"/>
      <c r="H32" s="361">
        <f>'Sources and Uses Budget'!T32</f>
        <v>0</v>
      </c>
      <c r="I32" s="362"/>
      <c r="J32" s="362"/>
      <c r="K32" s="359"/>
    </row>
    <row r="33" spans="1:11" s="360" customFormat="1">
      <c r="A33" s="145" t="s">
        <v>138</v>
      </c>
      <c r="B33" s="361">
        <f>'Sources and Uses Budget'!C33</f>
        <v>1679821.5</v>
      </c>
      <c r="C33" s="362"/>
      <c r="D33" s="362"/>
      <c r="E33" s="361">
        <f>'Sources and Uses Budget'!S33</f>
        <v>1679821.5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295840</v>
      </c>
      <c r="C36" s="362"/>
      <c r="D36" s="362"/>
      <c r="E36" s="361">
        <f>'Sources and Uses Budget'!S36</f>
        <v>295840</v>
      </c>
      <c r="F36" s="362"/>
      <c r="G36" s="362"/>
      <c r="H36" s="361">
        <f>'Sources and Uses Budget'!T36</f>
        <v>0</v>
      </c>
      <c r="I36" s="362"/>
      <c r="J36" s="362"/>
      <c r="K36" s="359"/>
    </row>
    <row r="37" spans="1:11" s="360" customFormat="1" ht="23">
      <c r="A37" s="364" t="str">
        <f>'Sources and Uses Budget'!$A37</f>
        <v>Other: Photovoltaic System, GC Bond Premium, Enviro Remediation</v>
      </c>
      <c r="B37" s="361">
        <f>'Sources and Uses Budget'!C37</f>
        <v>950801</v>
      </c>
      <c r="C37" s="362"/>
      <c r="D37" s="362"/>
      <c r="E37" s="361">
        <f>'Sources and Uses Budget'!S37</f>
        <v>560801</v>
      </c>
      <c r="F37" s="362"/>
      <c r="G37" s="362"/>
      <c r="H37" s="361">
        <f>'Sources and Uses Budget'!T37</f>
        <v>0</v>
      </c>
      <c r="I37" s="362"/>
      <c r="J37" s="362"/>
      <c r="K37" s="359"/>
    </row>
    <row r="38" spans="1:11" s="360" customFormat="1">
      <c r="A38" s="365" t="s">
        <v>143</v>
      </c>
      <c r="B38" s="361">
        <f>'Sources and Uses Budget'!C38</f>
        <v>73094919</v>
      </c>
      <c r="C38" s="361">
        <f>SUM(C29:C37)</f>
        <v>0</v>
      </c>
      <c r="D38" s="361">
        <f>SUM(D29:D37)</f>
        <v>0</v>
      </c>
      <c r="E38" s="361">
        <f>'Sources and Uses Budget'!S38</f>
        <v>72704919</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2650000</v>
      </c>
      <c r="C40" s="362"/>
      <c r="D40" s="362"/>
      <c r="E40" s="361">
        <f>'Sources and Uses Budget'!S40</f>
        <v>2650000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2650000</v>
      </c>
      <c r="C42" s="361">
        <f>SUM(C39:C41)</f>
        <v>0</v>
      </c>
      <c r="D42" s="361">
        <f>SUM(D39:D41)</f>
        <v>0</v>
      </c>
      <c r="E42" s="361">
        <f>'Sources and Uses Budget'!S42</f>
        <v>2650000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904415</v>
      </c>
      <c r="C43" s="362"/>
      <c r="D43" s="362"/>
      <c r="E43" s="361">
        <f>'Sources and Uses Budget'!S43</f>
        <v>904415</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6730044</v>
      </c>
      <c r="C45" s="362"/>
      <c r="D45" s="362"/>
      <c r="E45" s="361">
        <f>'Sources and Uses Budget'!S45</f>
        <v>2381267</v>
      </c>
      <c r="F45" s="362"/>
      <c r="G45" s="362"/>
      <c r="H45" s="361">
        <f>'Sources and Uses Budget'!T45</f>
        <v>0</v>
      </c>
      <c r="I45" s="362"/>
      <c r="J45" s="362"/>
      <c r="K45" s="359"/>
    </row>
    <row r="46" spans="1:11" s="360" customFormat="1">
      <c r="A46" s="364" t="s">
        <v>151</v>
      </c>
      <c r="B46" s="361">
        <f>'Sources and Uses Budget'!C46</f>
        <v>399361</v>
      </c>
      <c r="C46" s="362"/>
      <c r="D46" s="362"/>
      <c r="E46" s="361">
        <f>'Sources and Uses Budget'!S46</f>
        <v>141998</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303549</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40000</v>
      </c>
      <c r="C50" s="362"/>
      <c r="D50" s="362"/>
      <c r="E50" s="361">
        <f>'Sources and Uses Budget'!S50</f>
        <v>40000</v>
      </c>
      <c r="F50" s="362"/>
      <c r="G50" s="362"/>
      <c r="H50" s="361">
        <f>'Sources and Uses Budget'!T50</f>
        <v>0</v>
      </c>
      <c r="I50" s="362"/>
      <c r="J50" s="362"/>
      <c r="K50" s="359"/>
    </row>
    <row r="51" spans="1:11" s="360" customFormat="1">
      <c r="A51" s="364" t="s">
        <v>154</v>
      </c>
      <c r="B51" s="361">
        <f>'Sources and Uses Budget'!C51</f>
        <v>800000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1900000</v>
      </c>
      <c r="C52" s="362"/>
      <c r="D52" s="362"/>
      <c r="E52" s="361">
        <f>'Sources and Uses Budget'!S52</f>
        <v>1900000</v>
      </c>
      <c r="F52" s="362"/>
      <c r="G52" s="362"/>
      <c r="H52" s="361">
        <f>'Sources and Uses Budget'!T52</f>
        <v>0</v>
      </c>
      <c r="I52" s="362"/>
      <c r="J52" s="362"/>
      <c r="K52" s="359"/>
    </row>
    <row r="53" spans="1:11" s="360" customFormat="1">
      <c r="A53" s="364" t="str">
        <f>'Sources and Uses Budget'!$A53</f>
        <v>Other: Lender Expenses</v>
      </c>
      <c r="B53" s="361">
        <f>'Sources and Uses Budget'!C53</f>
        <v>50000</v>
      </c>
      <c r="C53" s="362"/>
      <c r="D53" s="362"/>
      <c r="E53" s="361">
        <f>'Sources and Uses Budget'!S53</f>
        <v>17780</v>
      </c>
      <c r="F53" s="362"/>
      <c r="G53" s="362"/>
      <c r="H53" s="361">
        <f>'Sources and Uses Budget'!T53</f>
        <v>0</v>
      </c>
      <c r="I53" s="362"/>
      <c r="J53" s="362"/>
      <c r="K53" s="359"/>
    </row>
    <row r="54" spans="1:11" s="369" customFormat="1">
      <c r="A54" s="365" t="s">
        <v>157</v>
      </c>
      <c r="B54" s="361">
        <f>'Sources and Uses Budget'!C54</f>
        <v>10222954</v>
      </c>
      <c r="C54" s="367">
        <f>SUM(C45:C53)</f>
        <v>0</v>
      </c>
      <c r="D54" s="367">
        <f>SUM(D45:D53)</f>
        <v>0</v>
      </c>
      <c r="E54" s="361">
        <f>'Sources and Uses Budget'!S54</f>
        <v>4481045</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385080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Perm Lender Expenses</v>
      </c>
      <c r="B61" s="361">
        <f>'Sources and Uses Budget'!C61</f>
        <v>15000</v>
      </c>
      <c r="C61" s="362"/>
      <c r="D61" s="362"/>
      <c r="E61" s="363"/>
      <c r="F61" s="363"/>
      <c r="G61" s="363"/>
      <c r="H61" s="363"/>
      <c r="I61" s="363"/>
      <c r="J61" s="363"/>
      <c r="K61" s="359"/>
    </row>
    <row r="62" spans="1:11" s="360" customFormat="1" ht="13.75" customHeight="1">
      <c r="A62" s="365" t="s">
        <v>300</v>
      </c>
      <c r="B62" s="361">
        <f>'Sources and Uses Budget'!C62</f>
        <v>410080</v>
      </c>
      <c r="C62" s="361">
        <f>SUM(C56:C61)</f>
        <v>0</v>
      </c>
      <c r="D62" s="361">
        <f>SUM(D56:D61)</f>
        <v>0</v>
      </c>
      <c r="E62" s="363"/>
      <c r="F62" s="363"/>
      <c r="G62" s="363"/>
      <c r="H62" s="363"/>
      <c r="I62" s="363"/>
      <c r="J62" s="363"/>
      <c r="K62" s="359"/>
    </row>
    <row r="63" spans="1:11" s="360" customFormat="1">
      <c r="A63" s="370" t="s">
        <v>301</v>
      </c>
      <c r="B63" s="361">
        <f>'Sources and Uses Budget'!C63</f>
        <v>90097682</v>
      </c>
      <c r="C63" s="361">
        <f>SUM(C8+C11+C13+C14+C15+C26+C27+C38+C42+C43+C54+C62)</f>
        <v>0</v>
      </c>
      <c r="D63" s="361">
        <f>SUM(D8+D11+D13+D14+D15+D26+D27+D38+D42+D43+D54+D62)</f>
        <v>0</v>
      </c>
      <c r="E63" s="361">
        <f>'Sources and Uses Budget'!S63</f>
        <v>81711338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115000</v>
      </c>
      <c r="C65" s="362"/>
      <c r="D65" s="362"/>
      <c r="E65" s="361">
        <f>'Sources and Uses Budget'!S65</f>
        <v>30223</v>
      </c>
      <c r="F65" s="362"/>
      <c r="G65" s="362"/>
      <c r="H65" s="361">
        <f>'Sources and Uses Budget'!T65</f>
        <v>0</v>
      </c>
      <c r="I65" s="362"/>
      <c r="J65" s="362"/>
      <c r="K65" s="359"/>
    </row>
    <row r="66" spans="1:11" s="360" customFormat="1" ht="23">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Owner Legal</v>
      </c>
      <c r="B69" s="361">
        <f>'Sources and Uses Budget'!C69</f>
        <v>120000</v>
      </c>
      <c r="C69" s="362"/>
      <c r="D69" s="362"/>
      <c r="E69" s="361">
        <f>'Sources and Uses Budget'!S69</f>
        <v>95000</v>
      </c>
      <c r="F69" s="362"/>
      <c r="G69" s="362"/>
      <c r="H69" s="361">
        <f>'Sources and Uses Budget'!T69</f>
        <v>0</v>
      </c>
      <c r="I69" s="362"/>
      <c r="J69" s="362"/>
      <c r="K69" s="359"/>
    </row>
    <row r="70" spans="1:11" s="360" customFormat="1">
      <c r="A70" s="365" t="s">
        <v>601</v>
      </c>
      <c r="B70" s="361">
        <f>'Sources and Uses Budget'!C70</f>
        <v>235000</v>
      </c>
      <c r="C70" s="361">
        <f>SUM(C64:C69)</f>
        <v>0</v>
      </c>
      <c r="D70" s="361">
        <f>SUM(D64:D69)</f>
        <v>0</v>
      </c>
      <c r="E70" s="361">
        <f>'Sources and Uses Budget'!S70</f>
        <v>125223</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1633624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1633624</v>
      </c>
      <c r="C77" s="361">
        <f>SUM(C72:C76)</f>
        <v>0</v>
      </c>
      <c r="D77" s="361">
        <f>SUM(D72:D76)</f>
        <v>0</v>
      </c>
      <c r="E77" s="363"/>
      <c r="F77" s="363"/>
      <c r="G77" s="363"/>
      <c r="H77" s="363"/>
      <c r="I77" s="363"/>
      <c r="J77" s="363"/>
      <c r="K77" s="359"/>
    </row>
    <row r="78" spans="1:11" s="360" customFormat="1" ht="12">
      <c r="A78" s="357" t="s">
        <v>1210</v>
      </c>
      <c r="B78" s="358"/>
      <c r="C78" s="358"/>
      <c r="D78" s="358"/>
      <c r="E78" s="358"/>
      <c r="F78" s="358"/>
      <c r="G78" s="358"/>
      <c r="H78" s="358"/>
      <c r="I78" s="358"/>
      <c r="J78" s="358"/>
      <c r="K78" s="359"/>
    </row>
    <row r="79" spans="1:11" s="360" customFormat="1">
      <c r="A79" s="364" t="s">
        <v>1212</v>
      </c>
      <c r="B79" s="361">
        <f>'Sources and Uses Budget'!C79</f>
        <v>3729577</v>
      </c>
      <c r="C79" s="362"/>
      <c r="D79" s="362"/>
      <c r="E79" s="361">
        <f>'Sources and Uses Budget'!S79</f>
        <v>3729577</v>
      </c>
      <c r="F79" s="362"/>
      <c r="G79" s="362"/>
      <c r="H79" s="361">
        <f>'Sources and Uses Budget'!T79</f>
        <v>0</v>
      </c>
      <c r="I79" s="362"/>
      <c r="J79" s="362"/>
      <c r="K79" s="359"/>
    </row>
    <row r="80" spans="1:11" s="360" customFormat="1">
      <c r="A80" s="364" t="s">
        <v>58</v>
      </c>
      <c r="B80" s="361">
        <f>'Sources and Uses Budget'!C80</f>
        <v>338978</v>
      </c>
      <c r="C80" s="362"/>
      <c r="D80" s="362"/>
      <c r="E80" s="361">
        <f>'Sources and Uses Budget'!S80</f>
        <v>313978</v>
      </c>
      <c r="F80" s="362"/>
      <c r="G80" s="362"/>
      <c r="H80" s="361">
        <f>'Sources and Uses Budget'!T80</f>
        <v>0</v>
      </c>
      <c r="I80" s="362"/>
      <c r="J80" s="362"/>
      <c r="K80" s="359"/>
    </row>
    <row r="81" spans="1:11" s="360" customFormat="1">
      <c r="A81" s="365" t="s">
        <v>1209</v>
      </c>
      <c r="B81" s="361">
        <f>'Sources and Uses Budget'!C81</f>
        <v>4068555</v>
      </c>
      <c r="C81" s="361">
        <f>SUM(C79:C80)</f>
        <v>0</v>
      </c>
      <c r="D81" s="361">
        <f>SUM(D79:D80)</f>
        <v>0</v>
      </c>
      <c r="E81" s="361">
        <f>'Sources and Uses Budget'!S81</f>
        <v>4043555</v>
      </c>
      <c r="F81" s="361">
        <f>SUM(F79:F80)</f>
        <v>0</v>
      </c>
      <c r="G81" s="361">
        <f>SUM(G79:G80)</f>
        <v>0</v>
      </c>
      <c r="H81" s="361">
        <f>'Sources and Uses Budget'!T81</f>
        <v>0</v>
      </c>
      <c r="I81" s="361">
        <f>SUM(I79:I80)</f>
        <v>0</v>
      </c>
      <c r="J81" s="361">
        <f>SUM(J79:J80)</f>
        <v>0</v>
      </c>
      <c r="K81" s="359"/>
    </row>
    <row r="82" spans="1:11" s="360" customFormat="1" ht="12">
      <c r="A82" s="357" t="s">
        <v>765</v>
      </c>
      <c r="B82" s="358"/>
      <c r="C82" s="358"/>
      <c r="D82" s="358"/>
      <c r="E82" s="358"/>
      <c r="F82" s="358"/>
      <c r="G82" s="358"/>
      <c r="H82" s="358"/>
      <c r="I82" s="358"/>
      <c r="J82" s="358"/>
      <c r="K82" s="359"/>
    </row>
    <row r="83" spans="1:11" s="360" customFormat="1" ht="13.75" customHeight="1">
      <c r="A83" s="145" t="s">
        <v>2095</v>
      </c>
      <c r="B83" s="361">
        <f>'Sources and Uses Budget'!C83</f>
        <v>144986</v>
      </c>
      <c r="C83" s="362"/>
      <c r="D83" s="362"/>
      <c r="E83" s="363"/>
      <c r="F83" s="363"/>
      <c r="G83" s="363"/>
      <c r="H83" s="363"/>
      <c r="I83" s="363"/>
      <c r="J83" s="363"/>
      <c r="K83" s="359"/>
    </row>
    <row r="84" spans="1:11" s="360" customFormat="1">
      <c r="A84" s="145" t="s">
        <v>767</v>
      </c>
      <c r="B84" s="361">
        <f>'Sources and Uses Budget'!C84</f>
        <v>292510</v>
      </c>
      <c r="C84" s="362"/>
      <c r="D84" s="362"/>
      <c r="E84" s="361">
        <f>'Sources and Uses Budget'!S84</f>
        <v>292510</v>
      </c>
      <c r="F84" s="362"/>
      <c r="G84" s="362"/>
      <c r="H84" s="361">
        <f>'Sources and Uses Budget'!T84</f>
        <v>0</v>
      </c>
      <c r="I84" s="362"/>
      <c r="J84" s="362"/>
      <c r="K84" s="359"/>
    </row>
    <row r="85" spans="1:11" s="360" customFormat="1">
      <c r="A85" s="145" t="s">
        <v>768</v>
      </c>
      <c r="B85" s="361">
        <f>'Sources and Uses Budget'!C85</f>
        <v>1137158</v>
      </c>
      <c r="C85" s="362"/>
      <c r="D85" s="362"/>
      <c r="E85" s="361">
        <f>'Sources and Uses Budget'!S85</f>
        <v>1137158</v>
      </c>
      <c r="F85" s="362"/>
      <c r="G85" s="362"/>
      <c r="H85" s="361">
        <f>'Sources and Uses Budget'!T85</f>
        <v>0</v>
      </c>
      <c r="I85" s="362"/>
      <c r="J85" s="362"/>
      <c r="K85" s="359"/>
    </row>
    <row r="86" spans="1:11" s="360" customFormat="1">
      <c r="A86" s="145" t="s">
        <v>769</v>
      </c>
      <c r="B86" s="361">
        <f>'Sources and Uses Budget'!C86</f>
        <v>300000</v>
      </c>
      <c r="C86" s="362"/>
      <c r="D86" s="362"/>
      <c r="E86" s="361">
        <f>'Sources and Uses Budget'!S86</f>
        <v>300000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805094</v>
      </c>
      <c r="C88" s="362"/>
      <c r="D88" s="362"/>
      <c r="E88" s="363"/>
      <c r="F88" s="363"/>
      <c r="G88" s="363"/>
      <c r="H88" s="363"/>
      <c r="I88" s="363"/>
      <c r="J88" s="363"/>
      <c r="K88" s="359"/>
    </row>
    <row r="89" spans="1:11" s="360" customFormat="1">
      <c r="A89" s="145" t="s">
        <v>772</v>
      </c>
      <c r="B89" s="361">
        <f>'Sources and Uses Budget'!C89</f>
        <v>139500</v>
      </c>
      <c r="C89" s="362"/>
      <c r="D89" s="362"/>
      <c r="E89" s="361">
        <f>'Sources and Uses Budget'!S89</f>
        <v>139500</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20000</v>
      </c>
      <c r="C92" s="362"/>
      <c r="D92" s="362"/>
      <c r="E92" s="361">
        <f>'Sources and Uses Budget'!S92</f>
        <v>20000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2839248</v>
      </c>
      <c r="C96" s="361">
        <f>SUM(C83:C95)</f>
        <v>0</v>
      </c>
      <c r="D96" s="361">
        <f>SUM(D83:D95)</f>
        <v>0</v>
      </c>
      <c r="E96" s="361">
        <f>'Sources and Uses Budget'!S96</f>
        <v>1889168</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98874109</v>
      </c>
      <c r="C97" s="361">
        <f>SUM(C63+C70+C77+C81+C96)</f>
        <v>0</v>
      </c>
      <c r="D97" s="361">
        <f>SUM(D63+D70+D77+D81+D96)</f>
        <v>0</v>
      </c>
      <c r="E97" s="361">
        <f>'Sources and Uses Budget'!S97</f>
        <v>87769284</v>
      </c>
      <c r="F97" s="367">
        <f>SUM(+F63+F70+F81+F96)</f>
        <v>0</v>
      </c>
      <c r="G97" s="367">
        <f>SUM(+G63+G70+G81+G96)</f>
        <v>0</v>
      </c>
      <c r="H97" s="361">
        <f>'Sources and Uses Budget'!T97</f>
        <v>0</v>
      </c>
      <c r="I97" s="367">
        <f>SUM(I63+I70+I81+I96)</f>
        <v>0</v>
      </c>
      <c r="J97" s="367">
        <f>SUM(J63+J70+J81+J96)</f>
        <v>0</v>
      </c>
      <c r="K97" s="359"/>
    </row>
    <row r="98" spans="1:11" s="360" customFormat="1" ht="12">
      <c r="A98" s="357" t="s">
        <v>776</v>
      </c>
      <c r="B98" s="358"/>
      <c r="C98" s="358"/>
      <c r="D98" s="358"/>
      <c r="E98" s="358"/>
      <c r="F98" s="358"/>
      <c r="G98" s="358"/>
      <c r="H98" s="358"/>
      <c r="I98" s="358"/>
      <c r="J98" s="358"/>
      <c r="K98" s="359"/>
    </row>
    <row r="99" spans="1:11" s="360" customFormat="1">
      <c r="A99" s="145" t="s">
        <v>777</v>
      </c>
      <c r="B99" s="361">
        <f>'Sources and Uses Budget'!C99</f>
        <v>13165392</v>
      </c>
      <c r="C99" s="362"/>
      <c r="D99" s="362"/>
      <c r="E99" s="361">
        <f>'Sources and Uses Budget'!S99</f>
        <v>13165392</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13165392</v>
      </c>
      <c r="C104" s="361">
        <f>SUM(C99:C103)</f>
        <v>0</v>
      </c>
      <c r="D104" s="361">
        <f>SUM(D99:D103)</f>
        <v>0</v>
      </c>
      <c r="E104" s="361">
        <f>'Sources and Uses Budget'!S104</f>
        <v>13165392</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112039501</v>
      </c>
      <c r="C105" s="367">
        <f>SUM(C97+C104)</f>
        <v>0</v>
      </c>
      <c r="D105" s="367">
        <f>SUM(D97+D104)</f>
        <v>0</v>
      </c>
      <c r="E105" s="361">
        <f>'Sources and Uses Budget'!S105</f>
        <v>100934676</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100934676</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3"/>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P24" sqref="P24:U24"/>
    </sheetView>
  </sheetViews>
  <sheetFormatPr defaultColWidth="2.6328125" defaultRowHeight="15.75" customHeight="1"/>
  <cols>
    <col min="1" max="8" width="2.6328125" style="1187"/>
    <col min="9" max="9" width="7.6328125" style="1187" customWidth="1"/>
    <col min="10" max="13" width="2.6328125" style="1187"/>
    <col min="14" max="14" width="4.6328125" style="1187" customWidth="1"/>
    <col min="15" max="19" width="2.6328125" style="1187"/>
    <col min="20" max="20" width="3.6328125" style="1187" customWidth="1"/>
    <col min="21" max="37" width="2.6328125" style="1187"/>
    <col min="38" max="38" width="3" style="1187" customWidth="1"/>
    <col min="39" max="45" width="2.6328125" style="1187"/>
    <col min="46" max="46" width="4.6328125" style="1187" customWidth="1"/>
    <col min="47" max="64" width="2.6328125" style="1187"/>
    <col min="65" max="65" width="10.453125" style="1187" hidden="1" customWidth="1"/>
    <col min="66" max="66" width="5.453125" style="1256" bestFit="1" customWidth="1"/>
    <col min="67" max="68" width="5.453125" style="1256" customWidth="1"/>
    <col min="69" max="69" width="8" style="1256" customWidth="1"/>
    <col min="70" max="70" width="6" style="1256" customWidth="1"/>
    <col min="71" max="71" width="6.1796875" style="1256" customWidth="1"/>
    <col min="72" max="76" width="5.453125" style="1256" customWidth="1"/>
    <col min="77" max="77" width="6.1796875" style="1256" bestFit="1" customWidth="1"/>
    <col min="78" max="78" width="5.453125" style="1187" bestFit="1" customWidth="1"/>
    <col min="79" max="16384" width="2.6328125" style="1187"/>
  </cols>
  <sheetData>
    <row r="1" spans="1:65" ht="15.75" customHeight="1">
      <c r="A1" s="2323" t="s">
        <v>2458</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2457</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5" t="str">
        <f>IF(Application!H18="","",Application!H18)</f>
        <v xml:space="preserve">El Camino Real Multifamily </v>
      </c>
      <c r="M4" s="2316"/>
      <c r="N4" s="2316"/>
      <c r="O4" s="2316"/>
      <c r="P4" s="2316"/>
      <c r="Q4" s="2316"/>
      <c r="R4" s="2316"/>
      <c r="S4" s="2316"/>
      <c r="T4" s="2316"/>
      <c r="U4" s="2316"/>
      <c r="V4" s="2316"/>
      <c r="W4" s="2316"/>
      <c r="X4" s="2316"/>
      <c r="Y4" s="2316"/>
      <c r="Z4" s="2316"/>
      <c r="AA4" s="2316"/>
      <c r="AB4" s="2316"/>
      <c r="AC4" s="2317"/>
      <c r="AD4" s="1190"/>
      <c r="AE4" s="1190"/>
      <c r="AF4" s="2311" t="s">
        <v>2456</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2455</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5" t="str">
        <f>IF(Application!H16="","",Application!H16)</f>
        <v xml:space="preserve">Charities Housing Development Corportation of Santa Clara County </v>
      </c>
      <c r="M6" s="2316"/>
      <c r="N6" s="2316"/>
      <c r="O6" s="2316"/>
      <c r="P6" s="2316"/>
      <c r="Q6" s="2316"/>
      <c r="R6" s="2316"/>
      <c r="S6" s="2316"/>
      <c r="T6" s="2316"/>
      <c r="U6" s="2316"/>
      <c r="V6" s="2316"/>
      <c r="W6" s="2316"/>
      <c r="X6" s="2316"/>
      <c r="Y6" s="2316"/>
      <c r="Z6" s="2316"/>
      <c r="AA6" s="2316"/>
      <c r="AB6" s="2316"/>
      <c r="AC6" s="2317"/>
      <c r="AD6" s="1190"/>
      <c r="AE6" s="1190"/>
      <c r="AF6" s="2318" t="s">
        <v>2453</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2452</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ht="1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2450</v>
      </c>
      <c r="AG8" s="2318"/>
      <c r="AH8" s="2318"/>
      <c r="AI8" s="2318"/>
      <c r="AJ8" s="2318"/>
      <c r="AK8" s="2318"/>
      <c r="AL8" s="2318"/>
      <c r="AM8" s="2318"/>
      <c r="AN8" s="2318"/>
      <c r="AO8" s="2318"/>
      <c r="AP8" s="2319" t="s">
        <v>2099</v>
      </c>
      <c r="AQ8" s="2319"/>
      <c r="AR8" s="2319"/>
      <c r="AS8" s="2319"/>
      <c r="AT8" s="2319"/>
      <c r="AU8" s="2319"/>
      <c r="AV8" s="1190"/>
      <c r="AW8" s="1190"/>
      <c r="AX8" s="1190"/>
      <c r="AY8" s="1190"/>
      <c r="AZ8" s="1190"/>
      <c r="BA8" s="1190"/>
      <c r="BB8" s="1190"/>
      <c r="BC8" s="1190"/>
      <c r="BD8" s="1190"/>
      <c r="BE8" s="1191"/>
      <c r="BM8" s="1187" t="s">
        <v>1984</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2449</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2448</v>
      </c>
    </row>
    <row r="10" spans="1:65" ht="14.5">
      <c r="A10" s="1189"/>
      <c r="B10" s="1192" t="s">
        <v>2447</v>
      </c>
      <c r="C10" s="1192"/>
      <c r="D10" s="1192"/>
      <c r="E10" s="1192"/>
      <c r="F10" s="1192"/>
      <c r="G10" s="1192"/>
      <c r="H10" s="1192"/>
      <c r="I10" s="1192"/>
      <c r="J10" s="1192"/>
      <c r="K10" s="1192"/>
      <c r="L10" s="1192"/>
      <c r="M10" s="1190"/>
      <c r="N10" s="2314">
        <f>Application!AO627</f>
        <v>25508000</v>
      </c>
      <c r="O10" s="2314"/>
      <c r="P10" s="2314"/>
      <c r="Q10" s="2314"/>
      <c r="R10" s="2314"/>
      <c r="S10" s="2314"/>
      <c r="T10" s="2314"/>
      <c r="U10" s="1190"/>
      <c r="V10" s="1190"/>
      <c r="W10" s="1190"/>
      <c r="X10" s="1193"/>
      <c r="Y10" s="1193"/>
      <c r="Z10" s="1193"/>
      <c r="AA10" s="1193"/>
      <c r="AB10" s="1193"/>
      <c r="AC10" s="1193"/>
      <c r="AD10" s="1193"/>
      <c r="AE10" s="1193"/>
      <c r="AF10" s="2311" t="s">
        <v>2446</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2445</v>
      </c>
    </row>
    <row r="11" spans="1:65" ht="14.5">
      <c r="A11" s="1189"/>
      <c r="B11" s="1192" t="s">
        <v>2444</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2443</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5" thickBot="1">
      <c r="A13" s="1190"/>
      <c r="B13" s="2302" t="s">
        <v>2441</v>
      </c>
      <c r="C13" s="2303"/>
      <c r="D13" s="2303"/>
      <c r="E13" s="2303"/>
      <c r="F13" s="2303"/>
      <c r="G13" s="2303"/>
      <c r="H13" s="2303"/>
      <c r="I13" s="2303"/>
      <c r="J13" s="2303"/>
      <c r="K13" s="2303"/>
      <c r="L13" s="2303"/>
      <c r="M13" s="2303"/>
      <c r="N13" s="2303"/>
      <c r="O13" s="2303"/>
      <c r="P13" s="2304"/>
      <c r="Q13" s="2305" t="s">
        <v>669</v>
      </c>
      <c r="R13" s="2306"/>
      <c r="S13" s="2306"/>
      <c r="T13" s="2307"/>
      <c r="U13" s="1193"/>
      <c r="V13" s="1190"/>
      <c r="W13" s="1190"/>
      <c r="X13" s="1190"/>
      <c r="Y13" s="1190"/>
      <c r="Z13" s="1190"/>
      <c r="AA13" s="2292" t="s">
        <v>2440</v>
      </c>
      <c r="AB13" s="2292"/>
      <c r="AC13" s="2292"/>
      <c r="AD13" s="2292"/>
      <c r="AE13" s="2292"/>
      <c r="AF13" s="2292"/>
      <c r="AG13" s="2292"/>
      <c r="AH13" s="2292"/>
      <c r="AI13" s="2292"/>
      <c r="AJ13" s="2292"/>
      <c r="AK13" s="2292"/>
      <c r="AL13" s="2292"/>
      <c r="AM13" s="2292"/>
      <c r="AN13" s="2292"/>
      <c r="AO13" s="2308">
        <f>Application!W473</f>
        <v>25</v>
      </c>
      <c r="AP13" s="2309"/>
      <c r="AQ13" s="2309"/>
      <c r="AR13" s="2309"/>
      <c r="AS13" s="2309"/>
      <c r="AT13" s="1193"/>
      <c r="AU13" s="1193"/>
      <c r="AV13" s="1193"/>
      <c r="AW13" s="1193"/>
      <c r="AX13" s="1193"/>
      <c r="AY13" s="1193"/>
      <c r="AZ13" s="1193"/>
      <c r="BA13" s="1193"/>
      <c r="BB13" s="1193"/>
      <c r="BC13" s="1193"/>
      <c r="BD13" s="1193"/>
      <c r="BE13" s="1194"/>
      <c r="BM13" s="1187" t="s">
        <v>2439</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2438</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ht="15" thickBot="1">
      <c r="A15" s="1190"/>
      <c r="B15" s="2287" t="s">
        <v>2437</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2436</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2100" t="s">
        <v>2435</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2434</v>
      </c>
      <c r="C18" s="2296"/>
      <c r="D18" s="2296"/>
      <c r="E18" s="2296"/>
      <c r="F18" s="2296"/>
      <c r="G18" s="2296"/>
      <c r="H18" s="2296"/>
      <c r="I18" s="2297"/>
      <c r="J18" s="2298" t="s">
        <v>1586</v>
      </c>
      <c r="K18" s="2299"/>
      <c r="L18" s="2299"/>
      <c r="M18" s="2299"/>
      <c r="N18" s="2299"/>
      <c r="O18" s="2300"/>
      <c r="P18" s="2298" t="s">
        <v>323</v>
      </c>
      <c r="Q18" s="2299"/>
      <c r="R18" s="2299"/>
      <c r="S18" s="2299"/>
      <c r="T18" s="2299"/>
      <c r="U18" s="2300"/>
      <c r="V18" s="2298" t="s">
        <v>324</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2433</v>
      </c>
      <c r="AU18" s="2299"/>
      <c r="AV18" s="2299"/>
      <c r="AW18" s="2299"/>
      <c r="AX18" s="2299"/>
      <c r="AY18" s="2301"/>
      <c r="AZ18" s="1190"/>
      <c r="BA18" s="1190"/>
      <c r="BB18" s="1190"/>
      <c r="BC18" s="1190"/>
      <c r="BD18" s="1190"/>
      <c r="BE18" s="1194"/>
    </row>
    <row r="19" spans="1:58" ht="14.5">
      <c r="A19" s="1190"/>
      <c r="B19" s="2281">
        <v>0.3</v>
      </c>
      <c r="C19" s="2282"/>
      <c r="D19" s="2282"/>
      <c r="E19" s="2282"/>
      <c r="F19" s="2282"/>
      <c r="G19" s="2282"/>
      <c r="H19" s="2282"/>
      <c r="I19" s="2283"/>
      <c r="J19" s="2284">
        <f t="shared" ref="J19:J24" si="0">SUM(P19:AS19)</f>
        <v>64</v>
      </c>
      <c r="K19" s="2285"/>
      <c r="L19" s="2285"/>
      <c r="M19" s="2285"/>
      <c r="N19" s="2285"/>
      <c r="O19" s="2286"/>
      <c r="P19" s="2284" cm="1">
        <f t="array" ref="P19">SUMPRODUCT((Application!$B$718:$B$752 = 'CalHFA Addendum'!P$18)*(Application!$AC$718:$AC$752 = 'CalHFA Addendum'!$B19),Application!$G$718:$G$752)</f>
        <v>12</v>
      </c>
      <c r="Q19" s="2285"/>
      <c r="R19" s="2285"/>
      <c r="S19" s="2285"/>
      <c r="T19" s="2285"/>
      <c r="U19" s="2286"/>
      <c r="V19" s="2284" cm="1">
        <f t="array" ref="V19">SUMPRODUCT((Application!$B$714:$B$738 = 'CalHFA Addendum'!V$18)*(Application!$AC$714:$AC$738 = 'CalHFA Addendum'!$B19),Application!$G$714:$G$738)</f>
        <v>12</v>
      </c>
      <c r="W19" s="2285"/>
      <c r="X19" s="2285"/>
      <c r="Y19" s="2285"/>
      <c r="Z19" s="2285"/>
      <c r="AA19" s="2286"/>
      <c r="AB19" s="2284" cm="1">
        <f t="array" ref="AB19">SUMPRODUCT((Application!$B$714:$B$738 = 'CalHFA Addendum'!AB$18)*(Application!$AC$714:$AC$738 = 'CalHFA Addendum'!$B19),Application!$G$714:$G$738)</f>
        <v>20</v>
      </c>
      <c r="AC19" s="2285"/>
      <c r="AD19" s="2285"/>
      <c r="AE19" s="2285"/>
      <c r="AF19" s="2285"/>
      <c r="AG19" s="2286"/>
      <c r="AH19" s="2284" cm="1">
        <f t="array" ref="AH19">SUMPRODUCT((Application!$B$714:$B$738 = 'CalHFA Addendum'!AH$18)*(Application!$AC$714:$AC$738 = 'CalHFA Addendum'!$B19),Application!$G$714:$G$738)</f>
        <v>20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0.50793650793650791</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20</v>
      </c>
      <c r="K20" s="2285"/>
      <c r="L20" s="2285"/>
      <c r="M20" s="2285"/>
      <c r="N20" s="2285"/>
      <c r="O20" s="2286"/>
      <c r="P20" s="2284" cm="1">
        <f t="array" ref="P20">SUMPRODUCT((Application!$B$718:$B$752 = 'CalHFA Addendum'!P$18)*(Application!$AC$718:$AC$752 = 'CalHFA Addendum'!$B20),Application!$G$718:$G$752)</f>
        <v>6</v>
      </c>
      <c r="Q20" s="2285"/>
      <c r="R20" s="2285"/>
      <c r="S20" s="2285"/>
      <c r="T20" s="2285"/>
      <c r="U20" s="2286"/>
      <c r="V20" s="2284" cm="1">
        <f t="array" ref="V20">SUMPRODUCT((Application!$B$714:$B$738 = 'CalHFA Addendum'!V$18)*(Application!$AC$714:$AC$738 = 'CalHFA Addendum'!$B20),Application!$G$714:$G$738)</f>
        <v>6</v>
      </c>
      <c r="W20" s="2285"/>
      <c r="X20" s="2285"/>
      <c r="Y20" s="2285"/>
      <c r="Z20" s="2285"/>
      <c r="AA20" s="2286"/>
      <c r="AB20" s="2284" cm="1">
        <f t="array" ref="AB20">SUMPRODUCT((Application!$B$714:$B$738 = 'CalHFA Addendum'!AB$18)*(Application!$AC$714:$AC$738 = 'CalHFA Addendum'!$B20),Application!$G$714:$G$738)</f>
        <v>4</v>
      </c>
      <c r="AC20" s="2285"/>
      <c r="AD20" s="2285"/>
      <c r="AE20" s="2285"/>
      <c r="AF20" s="2285"/>
      <c r="AG20" s="2286"/>
      <c r="AH20" s="2284" cm="1">
        <f t="array" ref="AH20">SUMPRODUCT((Application!$B$714:$B$738 = 'CalHFA Addendum'!AH$18)*(Application!$AC$714:$AC$738 = 'CalHFA Addendum'!$B20),Application!$G$714:$G$738)</f>
        <v>4</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0.15873015873015872</v>
      </c>
      <c r="AU20" s="2270"/>
      <c r="AV20" s="2270"/>
      <c r="AW20" s="2270"/>
      <c r="AX20" s="2270"/>
      <c r="AY20" s="2271"/>
      <c r="AZ20" s="1190"/>
      <c r="BA20" s="1190"/>
      <c r="BB20" s="1190"/>
      <c r="BC20" s="1190"/>
      <c r="BD20" s="1190"/>
      <c r="BE20" s="1194"/>
    </row>
    <row r="21" spans="1:58" ht="14.5">
      <c r="A21" s="1190"/>
      <c r="B21" s="2281">
        <v>0.5</v>
      </c>
      <c r="C21" s="2282"/>
      <c r="D21" s="2282"/>
      <c r="E21" s="2282"/>
      <c r="F21" s="2282"/>
      <c r="G21" s="2282"/>
      <c r="H21" s="2282"/>
      <c r="I21" s="2283"/>
      <c r="J21" s="2284">
        <f t="shared" si="0"/>
        <v>19</v>
      </c>
      <c r="K21" s="2285"/>
      <c r="L21" s="2285"/>
      <c r="M21" s="2285"/>
      <c r="N21" s="2285"/>
      <c r="O21" s="2286"/>
      <c r="P21" s="2284" cm="1">
        <f t="array" ref="P21">SUMPRODUCT((Application!$B$714:$B$738 = 'CalHFA Addendum'!P$18)*(Application!$AC$714:$AC$738 = 'CalHFA Addendum'!$B21),Application!$G$714:$G$738)</f>
        <v>4</v>
      </c>
      <c r="Q21" s="2285"/>
      <c r="R21" s="2285"/>
      <c r="S21" s="2285"/>
      <c r="T21" s="2285"/>
      <c r="U21" s="2286"/>
      <c r="V21" s="2284" cm="1">
        <f t="array" ref="V21">SUMPRODUCT((Application!$B$714:$B$738 = 'CalHFA Addendum'!V$18)*(Application!$AC$714:$AC$738 = 'CalHFA Addendum'!$B21),Application!$G$714:$G$738)</f>
        <v>7</v>
      </c>
      <c r="W21" s="2285"/>
      <c r="X21" s="2285"/>
      <c r="Y21" s="2285"/>
      <c r="Z21" s="2285"/>
      <c r="AA21" s="2286"/>
      <c r="AB21" s="2284" cm="1">
        <f t="array" ref="AB21">SUMPRODUCT((Application!$B$714:$B$738 = 'CalHFA Addendum'!AB$18)*(Application!$AC$714:$AC$738 = 'CalHFA Addendum'!$B21),Application!$G$714:$G$738)</f>
        <v>4</v>
      </c>
      <c r="AC21" s="2285"/>
      <c r="AD21" s="2285"/>
      <c r="AE21" s="2285"/>
      <c r="AF21" s="2285"/>
      <c r="AG21" s="2286"/>
      <c r="AH21" s="2284" cm="1">
        <f t="array" ref="AH21">SUMPRODUCT((Application!$B$714:$B$738 = 'CalHFA Addendum'!AH$18)*(Application!$AC$714:$AC$738 = 'CalHFA Addendum'!$B21),Application!$G$714:$G$738)</f>
        <v>4</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0.15079365079365079</v>
      </c>
      <c r="AU21" s="2270"/>
      <c r="AV21" s="2270"/>
      <c r="AW21" s="2270"/>
      <c r="AX21" s="2270"/>
      <c r="AY21" s="2271"/>
      <c r="AZ21" s="1190"/>
      <c r="BA21" s="1190"/>
      <c r="BB21" s="1190"/>
      <c r="BC21" s="1190"/>
      <c r="BD21" s="1190"/>
      <c r="BE21" s="1194"/>
    </row>
    <row r="22" spans="1:58" ht="14.5">
      <c r="A22" s="1190"/>
      <c r="B22" s="2281">
        <v>0.6</v>
      </c>
      <c r="C22" s="2282"/>
      <c r="D22" s="2282"/>
      <c r="E22" s="2282"/>
      <c r="F22" s="2282"/>
      <c r="G22" s="2282"/>
      <c r="H22" s="2282"/>
      <c r="I22" s="2283"/>
      <c r="J22" s="2284">
        <f t="shared" si="0"/>
        <v>21</v>
      </c>
      <c r="K22" s="2285"/>
      <c r="L22" s="2285"/>
      <c r="M22" s="2285"/>
      <c r="N22" s="2285"/>
      <c r="O22" s="2286"/>
      <c r="P22" s="2284" cm="1">
        <f t="array" ref="P22">SUMPRODUCT((Application!$B$714:$B$738 = 'CalHFA Addendum'!P$18)*(Application!$AC$714:$AC$738 = 'CalHFA Addendum'!$B22),Application!$G$714:$G$738)</f>
        <v>2</v>
      </c>
      <c r="Q22" s="2285"/>
      <c r="R22" s="2285"/>
      <c r="S22" s="2285"/>
      <c r="T22" s="2285"/>
      <c r="U22" s="2286"/>
      <c r="V22" s="2284" cm="1">
        <f t="array" ref="V22">SUMPRODUCT((Application!$B$714:$B$738 = 'CalHFA Addendum'!V$18)*(Application!$AC$714:$AC$738 = 'CalHFA Addendum'!$B22),Application!$G$714:$G$738)</f>
        <v>15</v>
      </c>
      <c r="W22" s="2285"/>
      <c r="X22" s="2285"/>
      <c r="Y22" s="2285"/>
      <c r="Z22" s="2285"/>
      <c r="AA22" s="2286"/>
      <c r="AB22" s="2284" cm="1">
        <f t="array" ref="AB22">SUMPRODUCT((Application!$B$714:$B$738 = 'CalHFA Addendum'!AB$18)*(Application!$AC$714:$AC$738 = 'CalHFA Addendum'!$B22),Application!$G$714:$G$738)</f>
        <v>4</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0.16666666666666666</v>
      </c>
      <c r="AU22" s="2270"/>
      <c r="AV22" s="2270"/>
      <c r="AW22" s="2270"/>
      <c r="AX22" s="2270"/>
      <c r="AY22" s="2271"/>
      <c r="AZ22" s="1190"/>
      <c r="BA22" s="1190"/>
      <c r="BB22" s="1190"/>
      <c r="BC22" s="1190"/>
      <c r="BD22" s="1190"/>
      <c r="BE22" s="1194"/>
    </row>
    <row r="23" spans="1:58" ht="14.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4.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4.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4.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4.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ht="15" thickBot="1">
      <c r="A28" s="1190"/>
      <c r="B28" s="2272" t="s">
        <v>2432</v>
      </c>
      <c r="C28" s="2273"/>
      <c r="D28" s="2273"/>
      <c r="E28" s="2273"/>
      <c r="F28" s="2273"/>
      <c r="G28" s="2273"/>
      <c r="H28" s="2273"/>
      <c r="I28" s="2274"/>
      <c r="J28" s="2275">
        <f>SUM(P28:AS28)</f>
        <v>2</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1</v>
      </c>
      <c r="AI28" s="2276"/>
      <c r="AJ28" s="2276"/>
      <c r="AK28" s="2276"/>
      <c r="AL28" s="2276"/>
      <c r="AM28" s="2277"/>
      <c r="AN28" s="2275">
        <f>_xlfn.IFNA(VLOOKUP(AN$18,Application!$J$773:$S$776,6,FALSE), 0)</f>
        <v>0</v>
      </c>
      <c r="AO28" s="2276"/>
      <c r="AP28" s="2276"/>
      <c r="AQ28" s="2276"/>
      <c r="AR28" s="2276"/>
      <c r="AS28" s="2277"/>
      <c r="AT28" s="2278">
        <f t="shared" si="1"/>
        <v>1.5873015873015872E-2</v>
      </c>
      <c r="AU28" s="2279"/>
      <c r="AV28" s="2279"/>
      <c r="AW28" s="2279"/>
      <c r="AX28" s="2279"/>
      <c r="AY28" s="2280"/>
      <c r="AZ28" s="1190"/>
      <c r="BA28" s="1190"/>
      <c r="BB28" s="1190"/>
      <c r="BC28" s="1190"/>
      <c r="BD28" s="1190"/>
      <c r="BE28" s="1194"/>
    </row>
    <row r="29" spans="1:58" ht="15" thickBot="1">
      <c r="A29" s="1190"/>
      <c r="B29" s="2255" t="s">
        <v>1586</v>
      </c>
      <c r="C29" s="2228"/>
      <c r="D29" s="2228"/>
      <c r="E29" s="2228"/>
      <c r="F29" s="2228"/>
      <c r="G29" s="2228"/>
      <c r="H29" s="2228"/>
      <c r="I29" s="2229"/>
      <c r="J29" s="2227">
        <f>SUM(J19:O28)</f>
        <v>126</v>
      </c>
      <c r="K29" s="2228"/>
      <c r="L29" s="2228"/>
      <c r="M29" s="2228"/>
      <c r="N29" s="2228"/>
      <c r="O29" s="2229"/>
      <c r="P29" s="2227">
        <f>SUM(P19:U28)</f>
        <v>24</v>
      </c>
      <c r="Q29" s="2228"/>
      <c r="R29" s="2228"/>
      <c r="S29" s="2228"/>
      <c r="T29" s="2228"/>
      <c r="U29" s="2229"/>
      <c r="V29" s="2227">
        <f>SUM(V19:AA28)</f>
        <v>40</v>
      </c>
      <c r="W29" s="2228"/>
      <c r="X29" s="2228"/>
      <c r="Y29" s="2228"/>
      <c r="Z29" s="2228"/>
      <c r="AA29" s="2229"/>
      <c r="AB29" s="2227">
        <f>SUM(AB19:AG28)</f>
        <v>33</v>
      </c>
      <c r="AC29" s="2228"/>
      <c r="AD29" s="2228"/>
      <c r="AE29" s="2228"/>
      <c r="AF29" s="2228"/>
      <c r="AG29" s="2229"/>
      <c r="AH29" s="2227">
        <f>SUM(AH19:AM28)</f>
        <v>29</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3" t="s">
        <v>2431</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ht="15" thickBot="1">
      <c r="A32" s="1190"/>
      <c r="B32" s="2236" t="s">
        <v>2430</v>
      </c>
      <c r="C32" s="2237"/>
      <c r="D32" s="2237"/>
      <c r="E32" s="2237"/>
      <c r="F32" s="2237"/>
      <c r="G32" s="2237"/>
      <c r="H32" s="2237"/>
      <c r="I32" s="2237"/>
      <c r="J32" s="2240" t="s">
        <v>2429</v>
      </c>
      <c r="K32" s="2241"/>
      <c r="L32" s="2241"/>
      <c r="M32" s="2241"/>
      <c r="N32" s="2240" t="s">
        <v>2428</v>
      </c>
      <c r="O32" s="2241"/>
      <c r="P32" s="2241"/>
      <c r="Q32" s="2243"/>
      <c r="R32" s="2245" t="s">
        <v>2427</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2426</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2425</v>
      </c>
      <c r="AT35" s="2257"/>
      <c r="AU35" s="2257"/>
      <c r="AV35" s="2257"/>
      <c r="AW35" s="2257"/>
      <c r="AX35" s="2265"/>
      <c r="AY35" s="2256" t="s">
        <v>2424</v>
      </c>
      <c r="AZ35" s="2257"/>
      <c r="BA35" s="2257"/>
      <c r="BB35" s="2257"/>
      <c r="BC35" s="2257"/>
      <c r="BD35" s="2258"/>
      <c r="BE35" s="1194"/>
    </row>
    <row r="36" spans="1:58" ht="15.75" customHeight="1">
      <c r="A36" s="1190"/>
      <c r="B36" s="2160" t="s">
        <v>2423</v>
      </c>
      <c r="C36" s="2161"/>
      <c r="D36" s="2161"/>
      <c r="E36" s="2161"/>
      <c r="F36" s="2161"/>
      <c r="G36" s="2161"/>
      <c r="H36" s="2161"/>
      <c r="I36" s="2161"/>
      <c r="J36" s="2225" t="s">
        <v>2422</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2421</v>
      </c>
      <c r="C37" s="2161"/>
      <c r="D37" s="2161"/>
      <c r="E37" s="2161"/>
      <c r="F37" s="2161"/>
      <c r="G37" s="2161"/>
      <c r="H37" s="2161"/>
      <c r="I37" s="2161"/>
      <c r="J37" s="2225" t="s">
        <v>2420</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2419</v>
      </c>
      <c r="C38" s="2161"/>
      <c r="D38" s="2161"/>
      <c r="E38" s="2161"/>
      <c r="F38" s="2161"/>
      <c r="G38" s="2161"/>
      <c r="H38" s="2161"/>
      <c r="I38" s="2161"/>
      <c r="J38" s="2225" t="s">
        <v>2418</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2417</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2417</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2416</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2416</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2415</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2414</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2413</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2337</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299</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2410</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2403</v>
      </c>
      <c r="C51" s="2103"/>
      <c r="D51" s="2103"/>
      <c r="E51" s="2103"/>
      <c r="F51" s="2103"/>
      <c r="G51" s="2103"/>
      <c r="H51" s="2103"/>
      <c r="I51" s="2103"/>
      <c r="J51" s="2103" t="s">
        <v>2409</v>
      </c>
      <c r="K51" s="2103"/>
      <c r="L51" s="2103"/>
      <c r="M51" s="2103"/>
      <c r="N51" s="2103"/>
      <c r="O51" s="2103"/>
      <c r="P51" s="2103"/>
      <c r="Q51" s="2103"/>
      <c r="R51" s="2204" t="s">
        <v>2408</v>
      </c>
      <c r="S51" s="2204"/>
      <c r="T51" s="2204"/>
      <c r="U51" s="2204"/>
      <c r="V51" s="2204"/>
      <c r="W51" s="2204"/>
      <c r="X51" s="2204"/>
      <c r="Y51" s="2204"/>
      <c r="Z51" s="2204" t="s">
        <v>2407</v>
      </c>
      <c r="AA51" s="2204"/>
      <c r="AB51" s="2204"/>
      <c r="AC51" s="2204"/>
      <c r="AD51" s="2204"/>
      <c r="AE51" s="2204"/>
      <c r="AF51" s="2204"/>
      <c r="AG51" s="2204"/>
      <c r="AH51" s="2204" t="s">
        <v>2406</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2405</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2404</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1586</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2403</v>
      </c>
      <c r="C59" s="2194"/>
      <c r="D59" s="2194"/>
      <c r="E59" s="2194"/>
      <c r="F59" s="2194"/>
      <c r="G59" s="2194"/>
      <c r="H59" s="2194"/>
      <c r="I59" s="2195"/>
      <c r="J59" s="2101" t="s">
        <v>2402</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2400</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2399</v>
      </c>
      <c r="AD68" s="2027"/>
      <c r="AE68" s="2027"/>
      <c r="AF68" s="2027"/>
      <c r="AG68" s="2027"/>
      <c r="AH68" s="2027"/>
      <c r="AI68" s="2027"/>
      <c r="AJ68" s="2027"/>
      <c r="AK68" s="2027"/>
      <c r="AL68" s="2027"/>
      <c r="AM68" s="2027"/>
      <c r="AN68" s="2027"/>
      <c r="AO68" s="2027"/>
      <c r="AP68" s="2027"/>
      <c r="AQ68" s="2027"/>
      <c r="AR68" s="2027"/>
      <c r="AS68" s="2027"/>
      <c r="AT68" s="2027"/>
      <c r="AU68" s="2027"/>
      <c r="AV68" s="2177" t="s">
        <v>669</v>
      </c>
      <c r="AW68" s="2083"/>
      <c r="AX68" s="2083"/>
      <c r="AY68" s="2083"/>
      <c r="AZ68" s="2083"/>
      <c r="BA68" s="2083"/>
      <c r="BB68" s="2083"/>
      <c r="BC68" s="2084"/>
      <c r="BD68" s="1190"/>
      <c r="BE68" s="1194"/>
      <c r="BM68" s="1199" t="s">
        <v>2398</v>
      </c>
    </row>
    <row r="69" spans="1:94" ht="15.75" customHeight="1" thickTop="1" thickBot="1">
      <c r="A69" s="1190"/>
      <c r="B69" s="2178" t="s">
        <v>2397</v>
      </c>
      <c r="C69" s="2179"/>
      <c r="D69" s="2179"/>
      <c r="E69" s="2179"/>
      <c r="F69" s="2179"/>
      <c r="G69" s="2179"/>
      <c r="H69" s="2179"/>
      <c r="I69" s="2179"/>
      <c r="J69" s="2179"/>
      <c r="K69" s="2179"/>
      <c r="L69" s="2179"/>
      <c r="M69" s="2179"/>
      <c r="N69" s="2179"/>
      <c r="O69" s="2180" t="s">
        <v>2396</v>
      </c>
      <c r="P69" s="2181"/>
      <c r="Q69" s="2181"/>
      <c r="R69" s="2181"/>
      <c r="S69" s="2181"/>
      <c r="T69" s="2181"/>
      <c r="U69" s="2181"/>
      <c r="V69" s="2181"/>
      <c r="W69" s="2181"/>
      <c r="X69" s="2181"/>
      <c r="Y69" s="2181"/>
      <c r="Z69" s="2181"/>
      <c r="AA69" s="2182"/>
      <c r="AB69" s="1190"/>
      <c r="AC69" s="2183" t="s">
        <v>2395</v>
      </c>
      <c r="AD69" s="2184"/>
      <c r="AE69" s="2184"/>
      <c r="AF69" s="2184"/>
      <c r="AG69" s="2184"/>
      <c r="AH69" s="2184"/>
      <c r="AI69" s="2184"/>
      <c r="AJ69" s="2184"/>
      <c r="AK69" s="2184"/>
      <c r="AL69" s="2184"/>
      <c r="AM69" s="2184"/>
      <c r="AN69" s="2184"/>
      <c r="AO69" s="2184"/>
      <c r="AP69" s="2184"/>
      <c r="AQ69" s="2184"/>
      <c r="AR69" s="2184"/>
      <c r="AS69" s="2184"/>
      <c r="AT69" s="2184"/>
      <c r="AU69" s="2184"/>
      <c r="AV69" s="2177" t="s">
        <v>669</v>
      </c>
      <c r="AW69" s="2083"/>
      <c r="AX69" s="2083"/>
      <c r="AY69" s="2083"/>
      <c r="AZ69" s="2083"/>
      <c r="BA69" s="2083"/>
      <c r="BB69" s="2083"/>
      <c r="BC69" s="2084"/>
      <c r="BD69" s="1190"/>
      <c r="BE69" s="1194"/>
      <c r="BM69" s="1200" t="s">
        <v>545</v>
      </c>
    </row>
    <row r="70" spans="1:94" ht="15.75" customHeight="1">
      <c r="A70" s="1190"/>
      <c r="B70" s="2160" t="s">
        <v>2394</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2393</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669</v>
      </c>
    </row>
    <row r="71" spans="1:94" ht="15.75" customHeight="1" thickBot="1">
      <c r="A71" s="1190"/>
      <c r="B71" s="2160" t="s">
        <v>2392</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2391</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2390</v>
      </c>
    </row>
    <row r="72" spans="1:94" ht="15.75" customHeight="1">
      <c r="A72" s="1190"/>
      <c r="B72" s="2160" t="s">
        <v>2389</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2388</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2387</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2332</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2385</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2384</v>
      </c>
      <c r="C81" s="2155"/>
      <c r="D81" s="2155"/>
      <c r="E81" s="2155"/>
      <c r="F81" s="2155"/>
      <c r="G81" s="2155"/>
      <c r="H81" s="2155"/>
      <c r="I81" s="2155"/>
      <c r="J81" s="2155"/>
      <c r="K81" s="2155"/>
      <c r="L81" s="2155"/>
      <c r="M81" s="2155"/>
      <c r="N81" s="2155"/>
      <c r="O81" s="2155"/>
      <c r="P81" s="2155"/>
      <c r="Q81" s="2155"/>
      <c r="R81" s="2136" t="s">
        <v>2189</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2383</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2382</v>
      </c>
      <c r="AK83" s="2125"/>
      <c r="AL83" s="2125"/>
      <c r="AM83" s="2125"/>
      <c r="AN83" s="2125"/>
      <c r="AO83" s="2125"/>
      <c r="AP83" s="2125"/>
      <c r="AQ83" s="2125"/>
      <c r="AR83" s="2125"/>
      <c r="AS83" s="2125"/>
      <c r="AT83" s="2125"/>
      <c r="AU83" s="2125"/>
      <c r="AV83" s="2125"/>
      <c r="AW83" s="2125"/>
      <c r="AX83" s="2125"/>
      <c r="AY83" s="2141" t="s">
        <v>545</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2372</v>
      </c>
      <c r="J84" s="2103"/>
      <c r="K84" s="2103"/>
      <c r="L84" s="2103"/>
      <c r="M84" s="2103"/>
      <c r="N84" s="2103"/>
      <c r="O84" s="2103" t="s">
        <v>2348</v>
      </c>
      <c r="P84" s="2103"/>
      <c r="Q84" s="2103"/>
      <c r="R84" s="2103"/>
      <c r="S84" s="2103"/>
      <c r="T84" s="2103"/>
      <c r="U84" s="2103"/>
      <c r="V84" s="2139" t="s">
        <v>2347</v>
      </c>
      <c r="W84" s="2139"/>
      <c r="X84" s="2139"/>
      <c r="Y84" s="2139"/>
      <c r="Z84" s="2139"/>
      <c r="AA84" s="2139"/>
      <c r="AB84" s="2073" t="s">
        <v>2371</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2370</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2369</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2376</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2368</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2380</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2379</v>
      </c>
      <c r="C94" s="2155"/>
      <c r="D94" s="2155"/>
      <c r="E94" s="2155"/>
      <c r="F94" s="2155"/>
      <c r="G94" s="2155"/>
      <c r="H94" s="2155"/>
      <c r="I94" s="2155"/>
      <c r="J94" s="2155"/>
      <c r="K94" s="2155"/>
      <c r="L94" s="2155"/>
      <c r="M94" s="2155"/>
      <c r="N94" s="2155"/>
      <c r="O94" s="2155"/>
      <c r="P94" s="2155"/>
      <c r="Q94" s="2156"/>
      <c r="R94" s="2136" t="s">
        <v>2189</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2378</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2377</v>
      </c>
      <c r="AK96" s="2125"/>
      <c r="AL96" s="2125"/>
      <c r="AM96" s="2125"/>
      <c r="AN96" s="2125"/>
      <c r="AO96" s="2125"/>
      <c r="AP96" s="2125"/>
      <c r="AQ96" s="2125"/>
      <c r="AR96" s="2125"/>
      <c r="AS96" s="2125"/>
      <c r="AT96" s="2125"/>
      <c r="AU96" s="2125"/>
      <c r="AV96" s="2125"/>
      <c r="AW96" s="2125"/>
      <c r="AX96" s="2125"/>
      <c r="AY96" s="2141" t="s">
        <v>545</v>
      </c>
      <c r="AZ96" s="2141"/>
      <c r="BA96" s="2141"/>
      <c r="BB96" s="2142"/>
      <c r="BC96" s="1190"/>
      <c r="BD96" s="1190"/>
      <c r="BE96" s="1194"/>
      <c r="BQ96" s="1256" t="str">
        <f>Application!M243&amp;IF(TRIM(Application!AA249)&lt;&gt;""," ("&amp;Application!AA249&amp;")","")</f>
        <v>El Camino PA, LLC (Charities Housing Development Corporation of Santa Clara County )</v>
      </c>
      <c r="BR96" s="1259">
        <f>Application!AH246</f>
        <v>0.01</v>
      </c>
      <c r="CM96" s="1188"/>
      <c r="CN96" s="1188"/>
      <c r="CO96" s="1188"/>
      <c r="CP96" s="1188"/>
    </row>
    <row r="97" spans="1:94" ht="15.75" customHeight="1">
      <c r="A97" s="1190"/>
      <c r="B97" s="2135"/>
      <c r="C97" s="2103"/>
      <c r="D97" s="2103"/>
      <c r="E97" s="2103"/>
      <c r="F97" s="2103"/>
      <c r="G97" s="2103"/>
      <c r="H97" s="2103"/>
      <c r="I97" s="2103" t="s">
        <v>2372</v>
      </c>
      <c r="J97" s="2103"/>
      <c r="K97" s="2103"/>
      <c r="L97" s="2103"/>
      <c r="M97" s="2103"/>
      <c r="N97" s="2103"/>
      <c r="O97" s="2103" t="s">
        <v>2348</v>
      </c>
      <c r="P97" s="2103"/>
      <c r="Q97" s="2103"/>
      <c r="R97" s="2103"/>
      <c r="S97" s="2103"/>
      <c r="T97" s="2103"/>
      <c r="U97" s="2103"/>
      <c r="V97" s="2139" t="s">
        <v>2347</v>
      </c>
      <c r="W97" s="2139"/>
      <c r="X97" s="2139"/>
      <c r="Y97" s="2139"/>
      <c r="Z97" s="2139"/>
      <c r="AA97" s="2139"/>
      <c r="AB97" s="2073" t="s">
        <v>2371</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2370</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2369</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2376</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2368</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Charities Housing Development Corporation of Santa Clara County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2373</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2372</v>
      </c>
      <c r="J108" s="2103"/>
      <c r="K108" s="2103"/>
      <c r="L108" s="2103"/>
      <c r="M108" s="2103"/>
      <c r="N108" s="2103"/>
      <c r="O108" s="2103" t="s">
        <v>2348</v>
      </c>
      <c r="P108" s="2103"/>
      <c r="Q108" s="2103"/>
      <c r="R108" s="2103"/>
      <c r="S108" s="2103"/>
      <c r="T108" s="2103"/>
      <c r="U108" s="2103"/>
      <c r="V108" s="2139" t="s">
        <v>2347</v>
      </c>
      <c r="W108" s="2139"/>
      <c r="X108" s="2139"/>
      <c r="Y108" s="2139"/>
      <c r="Z108" s="2139"/>
      <c r="AA108" s="2139"/>
      <c r="AB108" s="2073" t="s">
        <v>2371</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2370</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2369</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2368</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2366</v>
      </c>
      <c r="C117" s="2109"/>
      <c r="D117" s="2109"/>
      <c r="E117" s="2109"/>
      <c r="F117" s="2109"/>
      <c r="G117" s="2109"/>
      <c r="H117" s="2109"/>
      <c r="I117" s="2109"/>
      <c r="J117" s="2109"/>
      <c r="K117" s="2109"/>
      <c r="L117" s="2109"/>
      <c r="M117" s="2109"/>
      <c r="N117" s="2109"/>
      <c r="O117" s="2109"/>
      <c r="P117" s="2109"/>
      <c r="Q117" s="2109"/>
      <c r="R117" s="2109"/>
      <c r="S117" s="2109"/>
      <c r="T117" s="2109"/>
      <c r="U117" s="2112" t="s">
        <v>545</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2366</v>
      </c>
      <c r="C121" s="2117"/>
      <c r="D121" s="2117"/>
      <c r="E121" s="2117"/>
      <c r="F121" s="2117"/>
      <c r="G121" s="2117"/>
      <c r="H121" s="2117"/>
      <c r="I121" s="2117"/>
      <c r="J121" s="2117"/>
      <c r="K121" s="2117"/>
      <c r="L121" s="2117"/>
      <c r="M121" s="2117"/>
      <c r="N121" s="2117"/>
      <c r="O121" s="2117"/>
      <c r="P121" s="2117"/>
      <c r="Q121" s="2117"/>
      <c r="R121" s="2117"/>
      <c r="S121" s="2117"/>
      <c r="T121" s="2117"/>
      <c r="U121" s="2120" t="s">
        <v>545</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2364</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1576</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2363</v>
      </c>
      <c r="J127" s="2103"/>
      <c r="K127" s="2103"/>
      <c r="L127" s="2103"/>
      <c r="M127" s="2103"/>
      <c r="N127" s="2103"/>
      <c r="O127" s="2104" t="s">
        <v>2362</v>
      </c>
      <c r="P127" s="2104"/>
      <c r="Q127" s="2104"/>
      <c r="R127" s="2104"/>
      <c r="S127" s="2104"/>
      <c r="T127" s="2104"/>
      <c r="U127" s="2105"/>
      <c r="V127" s="1190"/>
      <c r="W127" s="1190"/>
      <c r="X127" s="2043" t="s">
        <v>2332</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2346</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2345</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2360</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2348</v>
      </c>
      <c r="J134" s="2078"/>
      <c r="K134" s="2078"/>
      <c r="L134" s="2078"/>
      <c r="M134" s="2078"/>
      <c r="N134" s="2078"/>
      <c r="O134" s="2078"/>
      <c r="P134" s="2078" t="s">
        <v>2347</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2346</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2345</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2359</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545</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2358</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2357</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545</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2356</v>
      </c>
      <c r="C142" s="2086"/>
      <c r="D142" s="2086"/>
      <c r="E142" s="2086"/>
      <c r="F142" s="2086"/>
      <c r="G142" s="2086"/>
      <c r="H142" s="2086"/>
      <c r="I142" s="2086"/>
      <c r="J142" s="2086"/>
      <c r="K142" s="2086"/>
      <c r="L142" s="2086"/>
      <c r="M142" s="2086"/>
      <c r="N142" s="2086"/>
      <c r="O142" s="2086"/>
      <c r="P142" s="2086"/>
      <c r="Q142" s="2086"/>
      <c r="R142" s="2087" t="s">
        <v>2355</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249</v>
      </c>
      <c r="BD142" s="1190"/>
      <c r="BE142" s="1194"/>
    </row>
    <row r="143" spans="1:57" ht="15.75" customHeight="1">
      <c r="A143" s="1190"/>
      <c r="B143" s="2089" t="s">
        <v>2354</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2351</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2350</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2348</v>
      </c>
      <c r="J157" s="2078"/>
      <c r="K157" s="2078"/>
      <c r="L157" s="2078"/>
      <c r="M157" s="2078"/>
      <c r="N157" s="2078"/>
      <c r="O157" s="2078"/>
      <c r="P157" s="2078" t="s">
        <v>2349</v>
      </c>
      <c r="Q157" s="2078"/>
      <c r="R157" s="2078"/>
      <c r="S157" s="2078"/>
      <c r="T157" s="2078"/>
      <c r="U157" s="2079"/>
      <c r="V157" s="1190"/>
      <c r="W157" s="1190"/>
      <c r="X157" s="2040"/>
      <c r="Y157" s="2041"/>
      <c r="Z157" s="2041"/>
      <c r="AA157" s="2041"/>
      <c r="AB157" s="2041"/>
      <c r="AC157" s="2041"/>
      <c r="AD157" s="2041"/>
      <c r="AE157" s="2078" t="s">
        <v>2348</v>
      </c>
      <c r="AF157" s="2078"/>
      <c r="AG157" s="2078"/>
      <c r="AH157" s="2078"/>
      <c r="AI157" s="2078"/>
      <c r="AJ157" s="2078"/>
      <c r="AK157" s="2078"/>
      <c r="AL157" s="2078" t="s">
        <v>2347</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2346</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2346</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2345</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2344</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2329</v>
      </c>
      <c r="D163" s="2041"/>
      <c r="E163" s="2041"/>
      <c r="F163" s="2041"/>
      <c r="G163" s="2041"/>
      <c r="H163" s="2041"/>
      <c r="I163" s="2041"/>
      <c r="J163" s="2041"/>
      <c r="K163" s="2041"/>
      <c r="L163" s="2041"/>
      <c r="M163" s="2041"/>
      <c r="N163" s="2041"/>
      <c r="O163" s="2041"/>
      <c r="P163" s="2041"/>
      <c r="Q163" s="2041" t="s">
        <v>2343</v>
      </c>
      <c r="R163" s="2041"/>
      <c r="S163" s="2041"/>
      <c r="T163" s="2073" t="s">
        <v>2342</v>
      </c>
      <c r="U163" s="2073"/>
      <c r="V163" s="2073"/>
      <c r="W163" s="2073"/>
      <c r="X163" s="2073"/>
      <c r="Y163" s="2073"/>
      <c r="Z163" s="2073"/>
      <c r="AA163" s="2073"/>
      <c r="AB163" s="2041" t="s">
        <v>2341</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2340</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2339</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2338</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2337</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169</v>
      </c>
      <c r="D168" s="2056"/>
      <c r="E168" s="2056"/>
      <c r="F168" s="2057" t="s">
        <v>2318</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169</v>
      </c>
      <c r="D169" s="2056"/>
      <c r="E169" s="2056"/>
      <c r="F169" s="2057" t="s">
        <v>2318</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169</v>
      </c>
      <c r="D170" s="2062"/>
      <c r="E170" s="2062"/>
      <c r="F170" s="2063" t="s">
        <v>2318</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2336</v>
      </c>
      <c r="D172" s="2027"/>
      <c r="E172" s="2027"/>
      <c r="F172" s="2027"/>
      <c r="G172" s="2027"/>
      <c r="H172" s="2027"/>
      <c r="I172" s="2027"/>
      <c r="J172" s="2027"/>
      <c r="K172" s="2027"/>
      <c r="L172" s="2027"/>
      <c r="M172" s="2027"/>
      <c r="N172" s="2036"/>
      <c r="O172" s="1190"/>
      <c r="P172" s="2037" t="s">
        <v>2335</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2334</v>
      </c>
      <c r="D173" s="2041"/>
      <c r="E173" s="2041"/>
      <c r="F173" s="2041"/>
      <c r="G173" s="2041"/>
      <c r="H173" s="2041"/>
      <c r="I173" s="2041" t="s">
        <v>2333</v>
      </c>
      <c r="J173" s="2041"/>
      <c r="K173" s="2041"/>
      <c r="L173" s="2041"/>
      <c r="M173" s="2041"/>
      <c r="N173" s="2042"/>
      <c r="O173" s="1190"/>
      <c r="P173" s="2043" t="s">
        <v>2332</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2331</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2329</v>
      </c>
      <c r="D184" s="2027"/>
      <c r="E184" s="2027"/>
      <c r="F184" s="2027"/>
      <c r="G184" s="2027"/>
      <c r="H184" s="2027"/>
      <c r="I184" s="2027"/>
      <c r="J184" s="2027"/>
      <c r="K184" s="2027"/>
      <c r="L184" s="2027"/>
      <c r="M184" s="2027"/>
      <c r="N184" s="2027" t="s">
        <v>2330</v>
      </c>
      <c r="O184" s="2027"/>
      <c r="P184" s="2027"/>
      <c r="Q184" s="2027"/>
      <c r="R184" s="2027"/>
      <c r="S184" s="2027"/>
      <c r="T184" s="2027"/>
      <c r="U184" s="2028" t="s">
        <v>2329</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2328</v>
      </c>
      <c r="D185" s="2006"/>
      <c r="E185" s="2006"/>
      <c r="F185" s="2006"/>
      <c r="G185" s="2006"/>
      <c r="H185" s="2006"/>
      <c r="I185" s="2006"/>
      <c r="J185" s="2006"/>
      <c r="K185" s="2006"/>
      <c r="L185" s="2006"/>
      <c r="M185" s="2006"/>
      <c r="N185" s="2016">
        <f>'Sources and Uses Budget'!B105</f>
        <v>112039501</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2327</v>
      </c>
      <c r="D186" s="2006"/>
      <c r="E186" s="2006"/>
      <c r="F186" s="2006"/>
      <c r="G186" s="2006"/>
      <c r="H186" s="2006"/>
      <c r="I186" s="2006"/>
      <c r="J186" s="2006"/>
      <c r="K186" s="2006"/>
      <c r="L186" s="2006"/>
      <c r="M186" s="2006"/>
      <c r="N186" s="2016">
        <f>N185/J29</f>
        <v>889202.38888888888</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2326</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2325</v>
      </c>
      <c r="D188" s="2006"/>
      <c r="E188" s="2006"/>
      <c r="F188" s="2006"/>
      <c r="G188" s="2006"/>
      <c r="H188" s="2006"/>
      <c r="I188" s="2006"/>
      <c r="J188" s="2006"/>
      <c r="K188" s="2006"/>
      <c r="L188" s="2006"/>
      <c r="M188" s="2006"/>
      <c r="N188" s="2035">
        <f>SUM('Sources and Uses Budget'!B85:B86)</f>
        <v>1437158</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2324</v>
      </c>
      <c r="D189" s="2006"/>
      <c r="E189" s="2006"/>
      <c r="F189" s="2006"/>
      <c r="G189" s="2006"/>
      <c r="H189" s="2006"/>
      <c r="I189" s="2006"/>
      <c r="J189" s="2006"/>
      <c r="K189" s="2006"/>
      <c r="L189" s="2006"/>
      <c r="M189" s="2006"/>
      <c r="N189" s="2035">
        <f>'Sources and Uses Budget'!B8</f>
        <v>480574</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2322</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2323</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2322</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2321</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2320</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299</v>
      </c>
      <c r="D192" s="1998"/>
      <c r="E192" s="1990" t="s">
        <v>2318</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2319</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299</v>
      </c>
      <c r="D193" s="1989"/>
      <c r="E193" s="1990" t="s">
        <v>2318</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299</v>
      </c>
      <c r="D194" s="1977"/>
      <c r="E194" s="1978" t="s">
        <v>2318</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2317</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2316</v>
      </c>
      <c r="D195" s="1960"/>
      <c r="E195" s="1960"/>
      <c r="F195" s="1960"/>
      <c r="G195" s="1960"/>
      <c r="H195" s="1960"/>
      <c r="I195" s="1960"/>
      <c r="J195" s="1960"/>
      <c r="K195" s="1960"/>
      <c r="L195" s="1960"/>
      <c r="M195" s="1960"/>
      <c r="N195" s="1961">
        <f>SUM(N187:T194)</f>
        <v>1917732</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2315</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2314</v>
      </c>
      <c r="D196" s="1970"/>
      <c r="E196" s="1970"/>
      <c r="F196" s="1970"/>
      <c r="G196" s="1970"/>
      <c r="H196" s="1970"/>
      <c r="I196" s="1970"/>
      <c r="J196" s="1970"/>
      <c r="K196" s="1970"/>
      <c r="L196" s="1970"/>
      <c r="M196" s="1970"/>
      <c r="N196" s="1971">
        <f>(N185-N195)/J29</f>
        <v>873982.29365079361</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2313</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2312</v>
      </c>
      <c r="D200" s="1957"/>
      <c r="E200" s="1957"/>
      <c r="F200" s="1957"/>
      <c r="G200" s="1957"/>
      <c r="H200" s="1957"/>
      <c r="I200" s="1957"/>
      <c r="J200" s="1957"/>
      <c r="K200" s="1957"/>
      <c r="L200" s="1957"/>
      <c r="M200" s="1957"/>
      <c r="N200" s="1957"/>
      <c r="O200" s="1958" t="s">
        <v>2311</v>
      </c>
      <c r="P200" s="1958"/>
      <c r="Q200" s="1958"/>
      <c r="R200" s="1958"/>
      <c r="S200" s="1958"/>
      <c r="T200" s="1958"/>
      <c r="U200" s="1958"/>
      <c r="V200" s="1958"/>
      <c r="W200" s="1958"/>
      <c r="X200" s="1958" t="s">
        <v>2310</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2309</v>
      </c>
      <c r="D201" s="1949"/>
      <c r="E201" s="1949"/>
      <c r="F201" s="1949"/>
      <c r="G201" s="1949"/>
      <c r="H201" s="1949"/>
      <c r="I201" s="1949"/>
      <c r="J201" s="1949"/>
      <c r="K201" s="1949"/>
      <c r="L201" s="1949"/>
      <c r="M201" s="1949"/>
      <c r="N201" s="1949"/>
      <c r="O201" s="1950" t="s">
        <v>2308</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854</v>
      </c>
      <c r="D202" s="1949"/>
      <c r="E202" s="1949"/>
      <c r="F202" s="1949"/>
      <c r="G202" s="1949"/>
      <c r="H202" s="1949"/>
      <c r="I202" s="1949"/>
      <c r="J202" s="1949"/>
      <c r="K202" s="1949"/>
      <c r="L202" s="1949"/>
      <c r="M202" s="1949"/>
      <c r="N202" s="1949"/>
      <c r="O202" s="1950" t="s">
        <v>2308</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2307</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2306</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2305</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2304</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2303</v>
      </c>
      <c r="D207" s="1928"/>
      <c r="E207" s="1928"/>
      <c r="F207" s="1929"/>
      <c r="G207" s="1933" t="s">
        <v>2302</v>
      </c>
      <c r="H207" s="1928"/>
      <c r="I207" s="1928"/>
      <c r="J207" s="1928"/>
      <c r="K207" s="1928"/>
      <c r="L207" s="1928"/>
      <c r="M207" s="1928"/>
      <c r="N207" s="1928"/>
      <c r="O207" s="1929"/>
      <c r="P207" s="1935" t="s">
        <v>2301</v>
      </c>
      <c r="Q207" s="1936"/>
      <c r="R207" s="1936"/>
      <c r="S207" s="1936"/>
      <c r="T207" s="1937"/>
      <c r="U207" s="1941" t="s">
        <v>2300</v>
      </c>
      <c r="V207" s="1942"/>
      <c r="W207" s="1942"/>
      <c r="X207" s="1943"/>
      <c r="Y207" s="1941" t="s">
        <v>2299</v>
      </c>
      <c r="Z207" s="1942"/>
      <c r="AA207" s="1942"/>
      <c r="AB207" s="1943"/>
      <c r="AC207" s="1941" t="s">
        <v>2298</v>
      </c>
      <c r="AD207" s="1942"/>
      <c r="AE207" s="1942"/>
      <c r="AF207" s="1943"/>
      <c r="AG207" s="1933" t="s">
        <v>2297</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1885</v>
      </c>
      <c r="H209" s="1918"/>
      <c r="I209" s="1918"/>
      <c r="J209" s="1918"/>
      <c r="K209" s="1918"/>
      <c r="L209" s="1918"/>
      <c r="M209" s="1918"/>
      <c r="N209" s="1918"/>
      <c r="O209" s="1918"/>
      <c r="P209" s="1919"/>
      <c r="Q209" s="1922"/>
      <c r="R209" s="1922"/>
      <c r="S209" s="1922"/>
      <c r="T209" s="1922"/>
      <c r="U209" s="1920" t="s">
        <v>1885</v>
      </c>
      <c r="V209" s="1920"/>
      <c r="W209" s="1920"/>
      <c r="X209" s="1920"/>
      <c r="Y209" s="1920" t="s">
        <v>1885</v>
      </c>
      <c r="Z209" s="1920"/>
      <c r="AA209" s="1920"/>
      <c r="AB209" s="1920"/>
      <c r="AC209" s="1921" t="s">
        <v>1885</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1885</v>
      </c>
      <c r="H210" s="1918"/>
      <c r="I210" s="1918"/>
      <c r="J210" s="1918"/>
      <c r="K210" s="1918"/>
      <c r="L210" s="1918"/>
      <c r="M210" s="1918"/>
      <c r="N210" s="1918"/>
      <c r="O210" s="1918"/>
      <c r="P210" s="1919"/>
      <c r="Q210" s="1919"/>
      <c r="R210" s="1919"/>
      <c r="S210" s="1919"/>
      <c r="T210" s="1919"/>
      <c r="U210" s="1920" t="s">
        <v>1885</v>
      </c>
      <c r="V210" s="1920"/>
      <c r="W210" s="1920"/>
      <c r="X210" s="1920"/>
      <c r="Y210" s="1920" t="s">
        <v>1885</v>
      </c>
      <c r="Z210" s="1920"/>
      <c r="AA210" s="1920"/>
      <c r="AB210" s="1920"/>
      <c r="AC210" s="1921" t="s">
        <v>1885</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1885</v>
      </c>
      <c r="H211" s="1918"/>
      <c r="I211" s="1918"/>
      <c r="J211" s="1918"/>
      <c r="K211" s="1918"/>
      <c r="L211" s="1918"/>
      <c r="M211" s="1918"/>
      <c r="N211" s="1918"/>
      <c r="O211" s="1918"/>
      <c r="P211" s="1919"/>
      <c r="Q211" s="1919"/>
      <c r="R211" s="1919"/>
      <c r="S211" s="1919"/>
      <c r="T211" s="1919"/>
      <c r="U211" s="1920" t="s">
        <v>1885</v>
      </c>
      <c r="V211" s="1920"/>
      <c r="W211" s="1920"/>
      <c r="X211" s="1920"/>
      <c r="Y211" s="1920" t="s">
        <v>1885</v>
      </c>
      <c r="Z211" s="1920"/>
      <c r="AA211" s="1920"/>
      <c r="AB211" s="1920"/>
      <c r="AC211" s="1921" t="s">
        <v>1885</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1885</v>
      </c>
      <c r="H212" s="1918"/>
      <c r="I212" s="1918"/>
      <c r="J212" s="1918"/>
      <c r="K212" s="1918"/>
      <c r="L212" s="1918"/>
      <c r="M212" s="1918"/>
      <c r="N212" s="1918"/>
      <c r="O212" s="1918"/>
      <c r="P212" s="1919"/>
      <c r="Q212" s="1919"/>
      <c r="R212" s="1919"/>
      <c r="S212" s="1919"/>
      <c r="T212" s="1919"/>
      <c r="U212" s="1920" t="s">
        <v>1885</v>
      </c>
      <c r="V212" s="1920"/>
      <c r="W212" s="1920"/>
      <c r="X212" s="1920"/>
      <c r="Y212" s="1920" t="s">
        <v>1885</v>
      </c>
      <c r="Z212" s="1920"/>
      <c r="AA212" s="1920"/>
      <c r="AB212" s="1920"/>
      <c r="AC212" s="1921" t="s">
        <v>1885</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1885</v>
      </c>
      <c r="H213" s="1918"/>
      <c r="I213" s="1918"/>
      <c r="J213" s="1918"/>
      <c r="K213" s="1918"/>
      <c r="L213" s="1918"/>
      <c r="M213" s="1918"/>
      <c r="N213" s="1918"/>
      <c r="O213" s="1918"/>
      <c r="P213" s="1919"/>
      <c r="Q213" s="1919"/>
      <c r="R213" s="1919"/>
      <c r="S213" s="1919"/>
      <c r="T213" s="1919"/>
      <c r="U213" s="1920" t="s">
        <v>1885</v>
      </c>
      <c r="V213" s="1920"/>
      <c r="W213" s="1920"/>
      <c r="X213" s="1920"/>
      <c r="Y213" s="1920" t="s">
        <v>1885</v>
      </c>
      <c r="Z213" s="1920"/>
      <c r="AA213" s="1920"/>
      <c r="AB213" s="1920"/>
      <c r="AC213" s="1921" t="s">
        <v>1885</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1885</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1885</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1885</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2296</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2294</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2293</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2292</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2291</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2289</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2288</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2287</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2286</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2285</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441</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2284</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2283</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1" workbookViewId="0">
      <selection activeCell="AB73" sqref="AB73"/>
    </sheetView>
  </sheetViews>
  <sheetFormatPr defaultColWidth="0" defaultRowHeight="13" customHeight="1"/>
  <cols>
    <col min="1" max="1" width="1.453125" style="402" customWidth="1"/>
    <col min="2" max="2" width="0.81640625" style="402" customWidth="1"/>
    <col min="3" max="18" width="2.453125" style="402" customWidth="1"/>
    <col min="19" max="19" width="6.36328125" style="402" customWidth="1"/>
    <col min="20" max="39" width="2.6328125" style="402" customWidth="1"/>
    <col min="40" max="40" width="1.453125" style="402" customWidth="1"/>
    <col min="41" max="256" width="2.453125" style="402" hidden="1"/>
    <col min="257" max="257" width="1.453125" style="402" hidden="1" customWidth="1"/>
    <col min="258" max="258" width="0.81640625" style="402" hidden="1" customWidth="1"/>
    <col min="259" max="274" width="2.453125" style="402" hidden="1" customWidth="1"/>
    <col min="275" max="275" width="4" style="402" hidden="1" customWidth="1"/>
    <col min="276" max="295" width="2.453125" style="402" hidden="1" customWidth="1"/>
    <col min="296" max="296" width="1.453125" style="402" hidden="1" customWidth="1"/>
    <col min="297" max="512" width="2.453125" style="402" hidden="1"/>
    <col min="513" max="513" width="1.453125" style="402" hidden="1" customWidth="1"/>
    <col min="514" max="514" width="0.81640625" style="402" hidden="1" customWidth="1"/>
    <col min="515" max="530" width="2.453125" style="402" hidden="1" customWidth="1"/>
    <col min="531" max="531" width="4" style="402" hidden="1" customWidth="1"/>
    <col min="532" max="551" width="2.453125" style="402" hidden="1" customWidth="1"/>
    <col min="552" max="552" width="1.453125" style="402" hidden="1" customWidth="1"/>
    <col min="553" max="768" width="2.453125" style="402" hidden="1"/>
    <col min="769" max="769" width="1.453125" style="402" hidden="1" customWidth="1"/>
    <col min="770" max="770" width="0.81640625" style="402" hidden="1" customWidth="1"/>
    <col min="771" max="786" width="2.453125" style="402" hidden="1" customWidth="1"/>
    <col min="787" max="787" width="4" style="402" hidden="1" customWidth="1"/>
    <col min="788" max="807" width="2.453125" style="402" hidden="1" customWidth="1"/>
    <col min="808" max="808" width="1.453125" style="402" hidden="1" customWidth="1"/>
    <col min="809" max="1024" width="2.453125" style="402" hidden="1"/>
    <col min="1025" max="1025" width="1.453125" style="402" hidden="1" customWidth="1"/>
    <col min="1026" max="1026" width="0.81640625" style="402" hidden="1" customWidth="1"/>
    <col min="1027" max="1042" width="2.453125" style="402" hidden="1" customWidth="1"/>
    <col min="1043" max="1043" width="4" style="402" hidden="1" customWidth="1"/>
    <col min="1044" max="1063" width="2.453125" style="402" hidden="1" customWidth="1"/>
    <col min="1064" max="1064" width="1.453125" style="402" hidden="1" customWidth="1"/>
    <col min="1065" max="1280" width="2.453125" style="402" hidden="1"/>
    <col min="1281" max="1281" width="1.453125" style="402" hidden="1" customWidth="1"/>
    <col min="1282" max="1282" width="0.81640625" style="402" hidden="1" customWidth="1"/>
    <col min="1283" max="1298" width="2.453125" style="402" hidden="1" customWidth="1"/>
    <col min="1299" max="1299" width="4" style="402" hidden="1" customWidth="1"/>
    <col min="1300" max="1319" width="2.453125" style="402" hidden="1" customWidth="1"/>
    <col min="1320" max="1320" width="1.453125" style="402" hidden="1" customWidth="1"/>
    <col min="1321" max="1536" width="2.453125" style="402" hidden="1"/>
    <col min="1537" max="1537" width="1.453125" style="402" hidden="1" customWidth="1"/>
    <col min="1538" max="1538" width="0.81640625" style="402" hidden="1" customWidth="1"/>
    <col min="1539" max="1554" width="2.453125" style="402" hidden="1" customWidth="1"/>
    <col min="1555" max="1555" width="4" style="402" hidden="1" customWidth="1"/>
    <col min="1556" max="1575" width="2.453125" style="402" hidden="1" customWidth="1"/>
    <col min="1576" max="1576" width="1.453125" style="402" hidden="1" customWidth="1"/>
    <col min="1577" max="1792" width="2.453125" style="402" hidden="1"/>
    <col min="1793" max="1793" width="1.453125" style="402" hidden="1" customWidth="1"/>
    <col min="1794" max="1794" width="0.81640625" style="402" hidden="1" customWidth="1"/>
    <col min="1795" max="1810" width="2.453125" style="402" hidden="1" customWidth="1"/>
    <col min="1811" max="1811" width="4" style="402" hidden="1" customWidth="1"/>
    <col min="1812" max="1831" width="2.453125" style="402" hidden="1" customWidth="1"/>
    <col min="1832" max="1832" width="1.453125" style="402" hidden="1" customWidth="1"/>
    <col min="1833" max="2048" width="2.453125" style="402" hidden="1"/>
    <col min="2049" max="2049" width="1.453125" style="402" hidden="1" customWidth="1"/>
    <col min="2050" max="2050" width="0.81640625" style="402" hidden="1" customWidth="1"/>
    <col min="2051" max="2066" width="2.453125" style="402" hidden="1" customWidth="1"/>
    <col min="2067" max="2067" width="4" style="402" hidden="1" customWidth="1"/>
    <col min="2068" max="2087" width="2.453125" style="402" hidden="1" customWidth="1"/>
    <col min="2088" max="2088" width="1.453125" style="402" hidden="1" customWidth="1"/>
    <col min="2089" max="2304" width="2.453125" style="402" hidden="1"/>
    <col min="2305" max="2305" width="1.453125" style="402" hidden="1" customWidth="1"/>
    <col min="2306" max="2306" width="0.81640625" style="402" hidden="1" customWidth="1"/>
    <col min="2307" max="2322" width="2.453125" style="402" hidden="1" customWidth="1"/>
    <col min="2323" max="2323" width="4" style="402" hidden="1" customWidth="1"/>
    <col min="2324" max="2343" width="2.453125" style="402" hidden="1" customWidth="1"/>
    <col min="2344" max="2344" width="1.453125" style="402" hidden="1" customWidth="1"/>
    <col min="2345" max="2560" width="2.453125" style="402" hidden="1"/>
    <col min="2561" max="2561" width="1.453125" style="402" hidden="1" customWidth="1"/>
    <col min="2562" max="2562" width="0.81640625" style="402" hidden="1" customWidth="1"/>
    <col min="2563" max="2578" width="2.453125" style="402" hidden="1" customWidth="1"/>
    <col min="2579" max="2579" width="4" style="402" hidden="1" customWidth="1"/>
    <col min="2580" max="2599" width="2.453125" style="402" hidden="1" customWidth="1"/>
    <col min="2600" max="2600" width="1.453125" style="402" hidden="1" customWidth="1"/>
    <col min="2601" max="2816" width="2.453125" style="402" hidden="1"/>
    <col min="2817" max="2817" width="1.453125" style="402" hidden="1" customWidth="1"/>
    <col min="2818" max="2818" width="0.81640625" style="402" hidden="1" customWidth="1"/>
    <col min="2819" max="2834" width="2.453125" style="402" hidden="1" customWidth="1"/>
    <col min="2835" max="2835" width="4" style="402" hidden="1" customWidth="1"/>
    <col min="2836" max="2855" width="2.453125" style="402" hidden="1" customWidth="1"/>
    <col min="2856" max="2856" width="1.453125" style="402" hidden="1" customWidth="1"/>
    <col min="2857" max="3072" width="2.453125" style="402" hidden="1"/>
    <col min="3073" max="3073" width="1.453125" style="402" hidden="1" customWidth="1"/>
    <col min="3074" max="3074" width="0.81640625" style="402" hidden="1" customWidth="1"/>
    <col min="3075" max="3090" width="2.453125" style="402" hidden="1" customWidth="1"/>
    <col min="3091" max="3091" width="4" style="402" hidden="1" customWidth="1"/>
    <col min="3092" max="3111" width="2.453125" style="402" hidden="1" customWidth="1"/>
    <col min="3112" max="3112" width="1.453125" style="402" hidden="1" customWidth="1"/>
    <col min="3113" max="3328" width="2.453125" style="402" hidden="1"/>
    <col min="3329" max="3329" width="1.453125" style="402" hidden="1" customWidth="1"/>
    <col min="3330" max="3330" width="0.81640625" style="402" hidden="1" customWidth="1"/>
    <col min="3331" max="3346" width="2.453125" style="402" hidden="1" customWidth="1"/>
    <col min="3347" max="3347" width="4" style="402" hidden="1" customWidth="1"/>
    <col min="3348" max="3367" width="2.453125" style="402" hidden="1" customWidth="1"/>
    <col min="3368" max="3368" width="1.453125" style="402" hidden="1" customWidth="1"/>
    <col min="3369" max="3584" width="2.453125" style="402" hidden="1"/>
    <col min="3585" max="3585" width="1.453125" style="402" hidden="1" customWidth="1"/>
    <col min="3586" max="3586" width="0.81640625" style="402" hidden="1" customWidth="1"/>
    <col min="3587" max="3602" width="2.453125" style="402" hidden="1" customWidth="1"/>
    <col min="3603" max="3603" width="4" style="402" hidden="1" customWidth="1"/>
    <col min="3604" max="3623" width="2.453125" style="402" hidden="1" customWidth="1"/>
    <col min="3624" max="3624" width="1.453125" style="402" hidden="1" customWidth="1"/>
    <col min="3625" max="3840" width="2.453125" style="402" hidden="1"/>
    <col min="3841" max="3841" width="1.453125" style="402" hidden="1" customWidth="1"/>
    <col min="3842" max="3842" width="0.81640625" style="402" hidden="1" customWidth="1"/>
    <col min="3843" max="3858" width="2.453125" style="402" hidden="1" customWidth="1"/>
    <col min="3859" max="3859" width="4" style="402" hidden="1" customWidth="1"/>
    <col min="3860" max="3879" width="2.453125" style="402" hidden="1" customWidth="1"/>
    <col min="3880" max="3880" width="1.453125" style="402" hidden="1" customWidth="1"/>
    <col min="3881" max="4096" width="2.453125" style="402" hidden="1"/>
    <col min="4097" max="4097" width="1.453125" style="402" hidden="1" customWidth="1"/>
    <col min="4098" max="4098" width="0.81640625" style="402" hidden="1" customWidth="1"/>
    <col min="4099" max="4114" width="2.453125" style="402" hidden="1" customWidth="1"/>
    <col min="4115" max="4115" width="4" style="402" hidden="1" customWidth="1"/>
    <col min="4116" max="4135" width="2.453125" style="402" hidden="1" customWidth="1"/>
    <col min="4136" max="4136" width="1.453125" style="402" hidden="1" customWidth="1"/>
    <col min="4137" max="4352" width="2.453125" style="402" hidden="1"/>
    <col min="4353" max="4353" width="1.453125" style="402" hidden="1" customWidth="1"/>
    <col min="4354" max="4354" width="0.81640625" style="402" hidden="1" customWidth="1"/>
    <col min="4355" max="4370" width="2.453125" style="402" hidden="1" customWidth="1"/>
    <col min="4371" max="4371" width="4" style="402" hidden="1" customWidth="1"/>
    <col min="4372" max="4391" width="2.453125" style="402" hidden="1" customWidth="1"/>
    <col min="4392" max="4392" width="1.453125" style="402" hidden="1" customWidth="1"/>
    <col min="4393" max="4608" width="2.453125" style="402" hidden="1"/>
    <col min="4609" max="4609" width="1.453125" style="402" hidden="1" customWidth="1"/>
    <col min="4610" max="4610" width="0.81640625" style="402" hidden="1" customWidth="1"/>
    <col min="4611" max="4626" width="2.453125" style="402" hidden="1" customWidth="1"/>
    <col min="4627" max="4627" width="4" style="402" hidden="1" customWidth="1"/>
    <col min="4628" max="4647" width="2.453125" style="402" hidden="1" customWidth="1"/>
    <col min="4648" max="4648" width="1.453125" style="402" hidden="1" customWidth="1"/>
    <col min="4649" max="4864" width="2.453125" style="402" hidden="1"/>
    <col min="4865" max="4865" width="1.453125" style="402" hidden="1" customWidth="1"/>
    <col min="4866" max="4866" width="0.81640625" style="402" hidden="1" customWidth="1"/>
    <col min="4867" max="4882" width="2.453125" style="402" hidden="1" customWidth="1"/>
    <col min="4883" max="4883" width="4" style="402" hidden="1" customWidth="1"/>
    <col min="4884" max="4903" width="2.453125" style="402" hidden="1" customWidth="1"/>
    <col min="4904" max="4904" width="1.453125" style="402" hidden="1" customWidth="1"/>
    <col min="4905" max="5120" width="2.453125" style="402" hidden="1"/>
    <col min="5121" max="5121" width="1.453125" style="402" hidden="1" customWidth="1"/>
    <col min="5122" max="5122" width="0.81640625" style="402" hidden="1" customWidth="1"/>
    <col min="5123" max="5138" width="2.453125" style="402" hidden="1" customWidth="1"/>
    <col min="5139" max="5139" width="4" style="402" hidden="1" customWidth="1"/>
    <col min="5140" max="5159" width="2.453125" style="402" hidden="1" customWidth="1"/>
    <col min="5160" max="5160" width="1.453125" style="402" hidden="1" customWidth="1"/>
    <col min="5161" max="5376" width="2.453125" style="402" hidden="1"/>
    <col min="5377" max="5377" width="1.453125" style="402" hidden="1" customWidth="1"/>
    <col min="5378" max="5378" width="0.81640625" style="402" hidden="1" customWidth="1"/>
    <col min="5379" max="5394" width="2.453125" style="402" hidden="1" customWidth="1"/>
    <col min="5395" max="5395" width="4" style="402" hidden="1" customWidth="1"/>
    <col min="5396" max="5415" width="2.453125" style="402" hidden="1" customWidth="1"/>
    <col min="5416" max="5416" width="1.453125" style="402" hidden="1" customWidth="1"/>
    <col min="5417" max="5632" width="2.453125" style="402" hidden="1"/>
    <col min="5633" max="5633" width="1.453125" style="402" hidden="1" customWidth="1"/>
    <col min="5634" max="5634" width="0.81640625" style="402" hidden="1" customWidth="1"/>
    <col min="5635" max="5650" width="2.453125" style="402" hidden="1" customWidth="1"/>
    <col min="5651" max="5651" width="4" style="402" hidden="1" customWidth="1"/>
    <col min="5652" max="5671" width="2.453125" style="402" hidden="1" customWidth="1"/>
    <col min="5672" max="5672" width="1.453125" style="402" hidden="1" customWidth="1"/>
    <col min="5673" max="5888" width="2.453125" style="402" hidden="1"/>
    <col min="5889" max="5889" width="1.453125" style="402" hidden="1" customWidth="1"/>
    <col min="5890" max="5890" width="0.81640625" style="402" hidden="1" customWidth="1"/>
    <col min="5891" max="5906" width="2.453125" style="402" hidden="1" customWidth="1"/>
    <col min="5907" max="5907" width="4" style="402" hidden="1" customWidth="1"/>
    <col min="5908" max="5927" width="2.453125" style="402" hidden="1" customWidth="1"/>
    <col min="5928" max="5928" width="1.453125" style="402" hidden="1" customWidth="1"/>
    <col min="5929" max="6144" width="2.453125" style="402" hidden="1"/>
    <col min="6145" max="6145" width="1.453125" style="402" hidden="1" customWidth="1"/>
    <col min="6146" max="6146" width="0.81640625" style="402" hidden="1" customWidth="1"/>
    <col min="6147" max="6162" width="2.453125" style="402" hidden="1" customWidth="1"/>
    <col min="6163" max="6163" width="4" style="402" hidden="1" customWidth="1"/>
    <col min="6164" max="6183" width="2.453125" style="402" hidden="1" customWidth="1"/>
    <col min="6184" max="6184" width="1.453125" style="402" hidden="1" customWidth="1"/>
    <col min="6185" max="6400" width="2.453125" style="402" hidden="1"/>
    <col min="6401" max="6401" width="1.453125" style="402" hidden="1" customWidth="1"/>
    <col min="6402" max="6402" width="0.81640625" style="402" hidden="1" customWidth="1"/>
    <col min="6403" max="6418" width="2.453125" style="402" hidden="1" customWidth="1"/>
    <col min="6419" max="6419" width="4" style="402" hidden="1" customWidth="1"/>
    <col min="6420" max="6439" width="2.453125" style="402" hidden="1" customWidth="1"/>
    <col min="6440" max="6440" width="1.453125" style="402" hidden="1" customWidth="1"/>
    <col min="6441" max="6656" width="2.453125" style="402" hidden="1"/>
    <col min="6657" max="6657" width="1.453125" style="402" hidden="1" customWidth="1"/>
    <col min="6658" max="6658" width="0.81640625" style="402" hidden="1" customWidth="1"/>
    <col min="6659" max="6674" width="2.453125" style="402" hidden="1" customWidth="1"/>
    <col min="6675" max="6675" width="4" style="402" hidden="1" customWidth="1"/>
    <col min="6676" max="6695" width="2.453125" style="402" hidden="1" customWidth="1"/>
    <col min="6696" max="6696" width="1.453125" style="402" hidden="1" customWidth="1"/>
    <col min="6697" max="6912" width="2.453125" style="402" hidden="1"/>
    <col min="6913" max="6913" width="1.453125" style="402" hidden="1" customWidth="1"/>
    <col min="6914" max="6914" width="0.81640625" style="402" hidden="1" customWidth="1"/>
    <col min="6915" max="6930" width="2.453125" style="402" hidden="1" customWidth="1"/>
    <col min="6931" max="6931" width="4" style="402" hidden="1" customWidth="1"/>
    <col min="6932" max="6951" width="2.453125" style="402" hidden="1" customWidth="1"/>
    <col min="6952" max="6952" width="1.453125" style="402" hidden="1" customWidth="1"/>
    <col min="6953" max="7168" width="2.453125" style="402" hidden="1"/>
    <col min="7169" max="7169" width="1.453125" style="402" hidden="1" customWidth="1"/>
    <col min="7170" max="7170" width="0.81640625" style="402" hidden="1" customWidth="1"/>
    <col min="7171" max="7186" width="2.453125" style="402" hidden="1" customWidth="1"/>
    <col min="7187" max="7187" width="4" style="402" hidden="1" customWidth="1"/>
    <col min="7188" max="7207" width="2.453125" style="402" hidden="1" customWidth="1"/>
    <col min="7208" max="7208" width="1.453125" style="402" hidden="1" customWidth="1"/>
    <col min="7209" max="7424" width="2.453125" style="402" hidden="1"/>
    <col min="7425" max="7425" width="1.453125" style="402" hidden="1" customWidth="1"/>
    <col min="7426" max="7426" width="0.81640625" style="402" hidden="1" customWidth="1"/>
    <col min="7427" max="7442" width="2.453125" style="402" hidden="1" customWidth="1"/>
    <col min="7443" max="7443" width="4" style="402" hidden="1" customWidth="1"/>
    <col min="7444" max="7463" width="2.453125" style="402" hidden="1" customWidth="1"/>
    <col min="7464" max="7464" width="1.453125" style="402" hidden="1" customWidth="1"/>
    <col min="7465" max="7680" width="2.453125" style="402" hidden="1"/>
    <col min="7681" max="7681" width="1.453125" style="402" hidden="1" customWidth="1"/>
    <col min="7682" max="7682" width="0.81640625" style="402" hidden="1" customWidth="1"/>
    <col min="7683" max="7698" width="2.453125" style="402" hidden="1" customWidth="1"/>
    <col min="7699" max="7699" width="4" style="402" hidden="1" customWidth="1"/>
    <col min="7700" max="7719" width="2.453125" style="402" hidden="1" customWidth="1"/>
    <col min="7720" max="7720" width="1.453125" style="402" hidden="1" customWidth="1"/>
    <col min="7721" max="7936" width="2.453125" style="402" hidden="1"/>
    <col min="7937" max="7937" width="1.453125" style="402" hidden="1" customWidth="1"/>
    <col min="7938" max="7938" width="0.81640625" style="402" hidden="1" customWidth="1"/>
    <col min="7939" max="7954" width="2.453125" style="402" hidden="1" customWidth="1"/>
    <col min="7955" max="7955" width="4" style="402" hidden="1" customWidth="1"/>
    <col min="7956" max="7975" width="2.453125" style="402" hidden="1" customWidth="1"/>
    <col min="7976" max="7976" width="1.453125" style="402" hidden="1" customWidth="1"/>
    <col min="7977" max="8192" width="2.453125" style="402" hidden="1"/>
    <col min="8193" max="8193" width="1.453125" style="402" hidden="1" customWidth="1"/>
    <col min="8194" max="8194" width="0.81640625" style="402" hidden="1" customWidth="1"/>
    <col min="8195" max="8210" width="2.453125" style="402" hidden="1" customWidth="1"/>
    <col min="8211" max="8211" width="4" style="402" hidden="1" customWidth="1"/>
    <col min="8212" max="8231" width="2.453125" style="402" hidden="1" customWidth="1"/>
    <col min="8232" max="8232" width="1.453125" style="402" hidden="1" customWidth="1"/>
    <col min="8233" max="8448" width="2.453125" style="402" hidden="1"/>
    <col min="8449" max="8449" width="1.453125" style="402" hidden="1" customWidth="1"/>
    <col min="8450" max="8450" width="0.81640625" style="402" hidden="1" customWidth="1"/>
    <col min="8451" max="8466" width="2.453125" style="402" hidden="1" customWidth="1"/>
    <col min="8467" max="8467" width="4" style="402" hidden="1" customWidth="1"/>
    <col min="8468" max="8487" width="2.453125" style="402" hidden="1" customWidth="1"/>
    <col min="8488" max="8488" width="1.453125" style="402" hidden="1" customWidth="1"/>
    <col min="8489" max="8704" width="2.453125" style="402" hidden="1"/>
    <col min="8705" max="8705" width="1.453125" style="402" hidden="1" customWidth="1"/>
    <col min="8706" max="8706" width="0.81640625" style="402" hidden="1" customWidth="1"/>
    <col min="8707" max="8722" width="2.453125" style="402" hidden="1" customWidth="1"/>
    <col min="8723" max="8723" width="4" style="402" hidden="1" customWidth="1"/>
    <col min="8724" max="8743" width="2.453125" style="402" hidden="1" customWidth="1"/>
    <col min="8744" max="8744" width="1.453125" style="402" hidden="1" customWidth="1"/>
    <col min="8745" max="8960" width="2.453125" style="402" hidden="1"/>
    <col min="8961" max="8961" width="1.453125" style="402" hidden="1" customWidth="1"/>
    <col min="8962" max="8962" width="0.81640625" style="402" hidden="1" customWidth="1"/>
    <col min="8963" max="8978" width="2.453125" style="402" hidden="1" customWidth="1"/>
    <col min="8979" max="8979" width="4" style="402" hidden="1" customWidth="1"/>
    <col min="8980" max="8999" width="2.453125" style="402" hidden="1" customWidth="1"/>
    <col min="9000" max="9000" width="1.453125" style="402" hidden="1" customWidth="1"/>
    <col min="9001" max="9216" width="2.453125" style="402" hidden="1"/>
    <col min="9217" max="9217" width="1.453125" style="402" hidden="1" customWidth="1"/>
    <col min="9218" max="9218" width="0.81640625" style="402" hidden="1" customWidth="1"/>
    <col min="9219" max="9234" width="2.453125" style="402" hidden="1" customWidth="1"/>
    <col min="9235" max="9235" width="4" style="402" hidden="1" customWidth="1"/>
    <col min="9236" max="9255" width="2.453125" style="402" hidden="1" customWidth="1"/>
    <col min="9256" max="9256" width="1.453125" style="402" hidden="1" customWidth="1"/>
    <col min="9257" max="9472" width="2.453125" style="402" hidden="1"/>
    <col min="9473" max="9473" width="1.453125" style="402" hidden="1" customWidth="1"/>
    <col min="9474" max="9474" width="0.81640625" style="402" hidden="1" customWidth="1"/>
    <col min="9475" max="9490" width="2.453125" style="402" hidden="1" customWidth="1"/>
    <col min="9491" max="9491" width="4" style="402" hidden="1" customWidth="1"/>
    <col min="9492" max="9511" width="2.453125" style="402" hidden="1" customWidth="1"/>
    <col min="9512" max="9512" width="1.453125" style="402" hidden="1" customWidth="1"/>
    <col min="9513" max="9728" width="2.453125" style="402" hidden="1"/>
    <col min="9729" max="9729" width="1.453125" style="402" hidden="1" customWidth="1"/>
    <col min="9730" max="9730" width="0.81640625" style="402" hidden="1" customWidth="1"/>
    <col min="9731" max="9746" width="2.453125" style="402" hidden="1" customWidth="1"/>
    <col min="9747" max="9747" width="4" style="402" hidden="1" customWidth="1"/>
    <col min="9748" max="9767" width="2.453125" style="402" hidden="1" customWidth="1"/>
    <col min="9768" max="9768" width="1.453125" style="402" hidden="1" customWidth="1"/>
    <col min="9769" max="9984" width="2.453125" style="402" hidden="1"/>
    <col min="9985" max="9985" width="1.453125" style="402" hidden="1" customWidth="1"/>
    <col min="9986" max="9986" width="0.81640625" style="402" hidden="1" customWidth="1"/>
    <col min="9987" max="10002" width="2.453125" style="402" hidden="1" customWidth="1"/>
    <col min="10003" max="10003" width="4" style="402" hidden="1" customWidth="1"/>
    <col min="10004" max="10023" width="2.453125" style="402" hidden="1" customWidth="1"/>
    <col min="10024" max="10024" width="1.453125" style="402" hidden="1" customWidth="1"/>
    <col min="10025" max="10240" width="2.453125" style="402" hidden="1"/>
    <col min="10241" max="10241" width="1.453125" style="402" hidden="1" customWidth="1"/>
    <col min="10242" max="10242" width="0.81640625" style="402" hidden="1" customWidth="1"/>
    <col min="10243" max="10258" width="2.453125" style="402" hidden="1" customWidth="1"/>
    <col min="10259" max="10259" width="4" style="402" hidden="1" customWidth="1"/>
    <col min="10260" max="10279" width="2.453125" style="402" hidden="1" customWidth="1"/>
    <col min="10280" max="10280" width="1.453125" style="402" hidden="1" customWidth="1"/>
    <col min="10281" max="10496" width="2.453125" style="402" hidden="1"/>
    <col min="10497" max="10497" width="1.453125" style="402" hidden="1" customWidth="1"/>
    <col min="10498" max="10498" width="0.81640625" style="402" hidden="1" customWidth="1"/>
    <col min="10499" max="10514" width="2.453125" style="402" hidden="1" customWidth="1"/>
    <col min="10515" max="10515" width="4" style="402" hidden="1" customWidth="1"/>
    <col min="10516" max="10535" width="2.453125" style="402" hidden="1" customWidth="1"/>
    <col min="10536" max="10536" width="1.453125" style="402" hidden="1" customWidth="1"/>
    <col min="10537" max="10752" width="2.453125" style="402" hidden="1"/>
    <col min="10753" max="10753" width="1.453125" style="402" hidden="1" customWidth="1"/>
    <col min="10754" max="10754" width="0.81640625" style="402" hidden="1" customWidth="1"/>
    <col min="10755" max="10770" width="2.453125" style="402" hidden="1" customWidth="1"/>
    <col min="10771" max="10771" width="4" style="402" hidden="1" customWidth="1"/>
    <col min="10772" max="10791" width="2.453125" style="402" hidden="1" customWidth="1"/>
    <col min="10792" max="10792" width="1.453125" style="402" hidden="1" customWidth="1"/>
    <col min="10793" max="11008" width="2.453125" style="402" hidden="1"/>
    <col min="11009" max="11009" width="1.453125" style="402" hidden="1" customWidth="1"/>
    <col min="11010" max="11010" width="0.81640625" style="402" hidden="1" customWidth="1"/>
    <col min="11011" max="11026" width="2.453125" style="402" hidden="1" customWidth="1"/>
    <col min="11027" max="11027" width="4" style="402" hidden="1" customWidth="1"/>
    <col min="11028" max="11047" width="2.453125" style="402" hidden="1" customWidth="1"/>
    <col min="11048" max="11048" width="1.453125" style="402" hidden="1" customWidth="1"/>
    <col min="11049" max="11264" width="2.453125" style="402" hidden="1"/>
    <col min="11265" max="11265" width="1.453125" style="402" hidden="1" customWidth="1"/>
    <col min="11266" max="11266" width="0.81640625" style="402" hidden="1" customWidth="1"/>
    <col min="11267" max="11282" width="2.453125" style="402" hidden="1" customWidth="1"/>
    <col min="11283" max="11283" width="4" style="402" hidden="1" customWidth="1"/>
    <col min="11284" max="11303" width="2.453125" style="402" hidden="1" customWidth="1"/>
    <col min="11304" max="11304" width="1.453125" style="402" hidden="1" customWidth="1"/>
    <col min="11305" max="11520" width="2.453125" style="402" hidden="1"/>
    <col min="11521" max="11521" width="1.453125" style="402" hidden="1" customWidth="1"/>
    <col min="11522" max="11522" width="0.81640625" style="402" hidden="1" customWidth="1"/>
    <col min="11523" max="11538" width="2.453125" style="402" hidden="1" customWidth="1"/>
    <col min="11539" max="11539" width="4" style="402" hidden="1" customWidth="1"/>
    <col min="11540" max="11559" width="2.453125" style="402" hidden="1" customWidth="1"/>
    <col min="11560" max="11560" width="1.453125" style="402" hidden="1" customWidth="1"/>
    <col min="11561" max="11776" width="2.453125" style="402" hidden="1"/>
    <col min="11777" max="11777" width="1.453125" style="402" hidden="1" customWidth="1"/>
    <col min="11778" max="11778" width="0.81640625" style="402" hidden="1" customWidth="1"/>
    <col min="11779" max="11794" width="2.453125" style="402" hidden="1" customWidth="1"/>
    <col min="11795" max="11795" width="4" style="402" hidden="1" customWidth="1"/>
    <col min="11796" max="11815" width="2.453125" style="402" hidden="1" customWidth="1"/>
    <col min="11816" max="11816" width="1.453125" style="402" hidden="1" customWidth="1"/>
    <col min="11817" max="12032" width="2.453125" style="402" hidden="1"/>
    <col min="12033" max="12033" width="1.453125" style="402" hidden="1" customWidth="1"/>
    <col min="12034" max="12034" width="0.81640625" style="402" hidden="1" customWidth="1"/>
    <col min="12035" max="12050" width="2.453125" style="402" hidden="1" customWidth="1"/>
    <col min="12051" max="12051" width="4" style="402" hidden="1" customWidth="1"/>
    <col min="12052" max="12071" width="2.453125" style="402" hidden="1" customWidth="1"/>
    <col min="12072" max="12072" width="1.453125" style="402" hidden="1" customWidth="1"/>
    <col min="12073" max="12288" width="2.453125" style="402" hidden="1"/>
    <col min="12289" max="12289" width="1.453125" style="402" hidden="1" customWidth="1"/>
    <col min="12290" max="12290" width="0.81640625" style="402" hidden="1" customWidth="1"/>
    <col min="12291" max="12306" width="2.453125" style="402" hidden="1" customWidth="1"/>
    <col min="12307" max="12307" width="4" style="402" hidden="1" customWidth="1"/>
    <col min="12308" max="12327" width="2.453125" style="402" hidden="1" customWidth="1"/>
    <col min="12328" max="12328" width="1.453125" style="402" hidden="1" customWidth="1"/>
    <col min="12329" max="12544" width="2.453125" style="402" hidden="1"/>
    <col min="12545" max="12545" width="1.453125" style="402" hidden="1" customWidth="1"/>
    <col min="12546" max="12546" width="0.81640625" style="402" hidden="1" customWidth="1"/>
    <col min="12547" max="12562" width="2.453125" style="402" hidden="1" customWidth="1"/>
    <col min="12563" max="12563" width="4" style="402" hidden="1" customWidth="1"/>
    <col min="12564" max="12583" width="2.453125" style="402" hidden="1" customWidth="1"/>
    <col min="12584" max="12584" width="1.453125" style="402" hidden="1" customWidth="1"/>
    <col min="12585" max="12800" width="2.453125" style="402" hidden="1"/>
    <col min="12801" max="12801" width="1.453125" style="402" hidden="1" customWidth="1"/>
    <col min="12802" max="12802" width="0.81640625" style="402" hidden="1" customWidth="1"/>
    <col min="12803" max="12818" width="2.453125" style="402" hidden="1" customWidth="1"/>
    <col min="12819" max="12819" width="4" style="402" hidden="1" customWidth="1"/>
    <col min="12820" max="12839" width="2.453125" style="402" hidden="1" customWidth="1"/>
    <col min="12840" max="12840" width="1.453125" style="402" hidden="1" customWidth="1"/>
    <col min="12841" max="13056" width="2.453125" style="402" hidden="1"/>
    <col min="13057" max="13057" width="1.453125" style="402" hidden="1" customWidth="1"/>
    <col min="13058" max="13058" width="0.81640625" style="402" hidden="1" customWidth="1"/>
    <col min="13059" max="13074" width="2.453125" style="402" hidden="1" customWidth="1"/>
    <col min="13075" max="13075" width="4" style="402" hidden="1" customWidth="1"/>
    <col min="13076" max="13095" width="2.453125" style="402" hidden="1" customWidth="1"/>
    <col min="13096" max="13096" width="1.453125" style="402" hidden="1" customWidth="1"/>
    <col min="13097" max="13312" width="2.453125" style="402" hidden="1"/>
    <col min="13313" max="13313" width="1.453125" style="402" hidden="1" customWidth="1"/>
    <col min="13314" max="13314" width="0.81640625" style="402" hidden="1" customWidth="1"/>
    <col min="13315" max="13330" width="2.453125" style="402" hidden="1" customWidth="1"/>
    <col min="13331" max="13331" width="4" style="402" hidden="1" customWidth="1"/>
    <col min="13332" max="13351" width="2.453125" style="402" hidden="1" customWidth="1"/>
    <col min="13352" max="13352" width="1.453125" style="402" hidden="1" customWidth="1"/>
    <col min="13353" max="13568" width="2.453125" style="402" hidden="1"/>
    <col min="13569" max="13569" width="1.453125" style="402" hidden="1" customWidth="1"/>
    <col min="13570" max="13570" width="0.81640625" style="402" hidden="1" customWidth="1"/>
    <col min="13571" max="13586" width="2.453125" style="402" hidden="1" customWidth="1"/>
    <col min="13587" max="13587" width="4" style="402" hidden="1" customWidth="1"/>
    <col min="13588" max="13607" width="2.453125" style="402" hidden="1" customWidth="1"/>
    <col min="13608" max="13608" width="1.453125" style="402" hidden="1" customWidth="1"/>
    <col min="13609" max="13824" width="2.453125" style="402" hidden="1"/>
    <col min="13825" max="13825" width="1.453125" style="402" hidden="1" customWidth="1"/>
    <col min="13826" max="13826" width="0.81640625" style="402" hidden="1" customWidth="1"/>
    <col min="13827" max="13842" width="2.453125" style="402" hidden="1" customWidth="1"/>
    <col min="13843" max="13843" width="4" style="402" hidden="1" customWidth="1"/>
    <col min="13844" max="13863" width="2.453125" style="402" hidden="1" customWidth="1"/>
    <col min="13864" max="13864" width="1.453125" style="402" hidden="1" customWidth="1"/>
    <col min="13865" max="14080" width="2.453125" style="402" hidden="1"/>
    <col min="14081" max="14081" width="1.453125" style="402" hidden="1" customWidth="1"/>
    <col min="14082" max="14082" width="0.81640625" style="402" hidden="1" customWidth="1"/>
    <col min="14083" max="14098" width="2.453125" style="402" hidden="1" customWidth="1"/>
    <col min="14099" max="14099" width="4" style="402" hidden="1" customWidth="1"/>
    <col min="14100" max="14119" width="2.453125" style="402" hidden="1" customWidth="1"/>
    <col min="14120" max="14120" width="1.453125" style="402" hidden="1" customWidth="1"/>
    <col min="14121" max="14336" width="2.453125" style="402" hidden="1"/>
    <col min="14337" max="14337" width="1.453125" style="402" hidden="1" customWidth="1"/>
    <col min="14338" max="14338" width="0.81640625" style="402" hidden="1" customWidth="1"/>
    <col min="14339" max="14354" width="2.453125" style="402" hidden="1" customWidth="1"/>
    <col min="14355" max="14355" width="4" style="402" hidden="1" customWidth="1"/>
    <col min="14356" max="14375" width="2.453125" style="402" hidden="1" customWidth="1"/>
    <col min="14376" max="14376" width="1.453125" style="402" hidden="1" customWidth="1"/>
    <col min="14377" max="14592" width="2.453125" style="402" hidden="1"/>
    <col min="14593" max="14593" width="1.453125" style="402" hidden="1" customWidth="1"/>
    <col min="14594" max="14594" width="0.81640625" style="402" hidden="1" customWidth="1"/>
    <col min="14595" max="14610" width="2.453125" style="402" hidden="1" customWidth="1"/>
    <col min="14611" max="14611" width="4" style="402" hidden="1" customWidth="1"/>
    <col min="14612" max="14631" width="2.453125" style="402" hidden="1" customWidth="1"/>
    <col min="14632" max="14632" width="1.453125" style="402" hidden="1" customWidth="1"/>
    <col min="14633" max="14848" width="2.453125" style="402" hidden="1"/>
    <col min="14849" max="14849" width="1.453125" style="402" hidden="1" customWidth="1"/>
    <col min="14850" max="14850" width="0.81640625" style="402" hidden="1" customWidth="1"/>
    <col min="14851" max="14866" width="2.453125" style="402" hidden="1" customWidth="1"/>
    <col min="14867" max="14867" width="4" style="402" hidden="1" customWidth="1"/>
    <col min="14868" max="14887" width="2.453125" style="402" hidden="1" customWidth="1"/>
    <col min="14888" max="14888" width="1.453125" style="402" hidden="1" customWidth="1"/>
    <col min="14889" max="15104" width="2.453125" style="402" hidden="1"/>
    <col min="15105" max="15105" width="1.453125" style="402" hidden="1" customWidth="1"/>
    <col min="15106" max="15106" width="0.81640625" style="402" hidden="1" customWidth="1"/>
    <col min="15107" max="15122" width="2.453125" style="402" hidden="1" customWidth="1"/>
    <col min="15123" max="15123" width="4" style="402" hidden="1" customWidth="1"/>
    <col min="15124" max="15143" width="2.453125" style="402" hidden="1" customWidth="1"/>
    <col min="15144" max="15144" width="1.453125" style="402" hidden="1" customWidth="1"/>
    <col min="15145" max="15360" width="2.453125" style="402" hidden="1"/>
    <col min="15361" max="15361" width="1.453125" style="402" hidden="1" customWidth="1"/>
    <col min="15362" max="15362" width="0.81640625" style="402" hidden="1" customWidth="1"/>
    <col min="15363" max="15378" width="2.453125" style="402" hidden="1" customWidth="1"/>
    <col min="15379" max="15379" width="4" style="402" hidden="1" customWidth="1"/>
    <col min="15380" max="15399" width="2.453125" style="402" hidden="1" customWidth="1"/>
    <col min="15400" max="15400" width="1.453125" style="402" hidden="1" customWidth="1"/>
    <col min="15401" max="15616" width="2.453125" style="402" hidden="1"/>
    <col min="15617" max="15617" width="1.453125" style="402" hidden="1" customWidth="1"/>
    <col min="15618" max="15618" width="0.81640625" style="402" hidden="1" customWidth="1"/>
    <col min="15619" max="15634" width="2.453125" style="402" hidden="1" customWidth="1"/>
    <col min="15635" max="15635" width="4" style="402" hidden="1" customWidth="1"/>
    <col min="15636" max="15655" width="2.453125" style="402" hidden="1" customWidth="1"/>
    <col min="15656" max="15656" width="1.453125" style="402" hidden="1" customWidth="1"/>
    <col min="15657" max="15872" width="2.453125" style="402" hidden="1"/>
    <col min="15873" max="15873" width="1.453125" style="402" hidden="1" customWidth="1"/>
    <col min="15874" max="15874" width="0.81640625" style="402" hidden="1" customWidth="1"/>
    <col min="15875" max="15890" width="2.453125" style="402" hidden="1" customWidth="1"/>
    <col min="15891" max="15891" width="4" style="402" hidden="1" customWidth="1"/>
    <col min="15892" max="15911" width="2.453125" style="402" hidden="1" customWidth="1"/>
    <col min="15912" max="15912" width="1.453125" style="402" hidden="1" customWidth="1"/>
    <col min="15913" max="16128" width="2.453125" style="402" hidden="1"/>
    <col min="16129" max="16129" width="1.453125" style="402" hidden="1" customWidth="1"/>
    <col min="16130" max="16130" width="0.81640625" style="402" hidden="1" customWidth="1"/>
    <col min="16131" max="16146" width="2.453125" style="402" hidden="1" customWidth="1"/>
    <col min="16147" max="16147" width="4" style="402" hidden="1" customWidth="1"/>
    <col min="16148" max="16167" width="2.453125" style="402" hidden="1" customWidth="1"/>
    <col min="16168" max="16168" width="1.453125" style="402" hidden="1" customWidth="1"/>
    <col min="16169" max="16384" width="2.453125" style="402" hidden="1"/>
  </cols>
  <sheetData>
    <row r="1" spans="1:40" ht="13" customHeight="1">
      <c r="A1" s="2376" t="s">
        <v>1280</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3"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3"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3"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3"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3" customHeight="1">
      <c r="B11" s="2342" t="s">
        <v>374</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100934676</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3" customHeight="1">
      <c r="B12" s="2380" t="s">
        <v>497</v>
      </c>
      <c r="C12" s="1308"/>
      <c r="D12" s="1308"/>
      <c r="E12" s="1308"/>
      <c r="F12" s="1308"/>
      <c r="G12" s="1308"/>
      <c r="H12" s="1308"/>
      <c r="I12" s="1308"/>
      <c r="J12" s="1308"/>
      <c r="K12" s="1308"/>
      <c r="L12" s="1308"/>
      <c r="M12" s="1308"/>
      <c r="N12" s="1308"/>
      <c r="O12" s="1308"/>
      <c r="P12" s="1308"/>
      <c r="Q12" s="1308"/>
      <c r="R12" s="1308"/>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3" customHeight="1">
      <c r="B13" s="435"/>
      <c r="C13" s="2382" t="s">
        <v>498</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3" customHeight="1">
      <c r="B14" s="435"/>
      <c r="C14" s="2382" t="s">
        <v>499</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3" customHeight="1">
      <c r="B15" s="435"/>
      <c r="C15" s="2382" t="s">
        <v>500</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3" customHeight="1">
      <c r="B16" s="435"/>
      <c r="C16" s="2382" t="s">
        <v>805</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3" customHeight="1">
      <c r="B17" s="435"/>
      <c r="C17" s="2382" t="s">
        <v>501</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3" customHeight="1">
      <c r="A18"/>
      <c r="B18" s="1150"/>
      <c r="C18" s="1565" t="s">
        <v>960</v>
      </c>
      <c r="D18" s="1565"/>
      <c r="E18" s="1565"/>
      <c r="F18" s="1565"/>
      <c r="G18" s="1565"/>
      <c r="H18" s="1565"/>
      <c r="I18" s="1565"/>
      <c r="J18" s="1565"/>
      <c r="K18" s="1565"/>
      <c r="L18" s="1565"/>
      <c r="M18" s="1565"/>
      <c r="N18" s="1565"/>
      <c r="O18" s="1565"/>
      <c r="P18" s="1565"/>
      <c r="Q18" s="1565"/>
      <c r="R18" s="1565"/>
      <c r="S18" s="1566"/>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3" customHeight="1">
      <c r="B19" s="1150"/>
      <c r="C19" s="1565" t="s">
        <v>960</v>
      </c>
      <c r="D19" s="1565"/>
      <c r="E19" s="1565"/>
      <c r="F19" s="1565"/>
      <c r="G19" s="1565"/>
      <c r="H19" s="1565"/>
      <c r="I19" s="1565"/>
      <c r="J19" s="1565"/>
      <c r="K19" s="1565"/>
      <c r="L19" s="1565"/>
      <c r="M19" s="1565"/>
      <c r="N19" s="1565"/>
      <c r="O19" s="1565"/>
      <c r="P19" s="1565"/>
      <c r="Q19" s="1565"/>
      <c r="R19" s="1565"/>
      <c r="S19" s="1566"/>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3" customHeight="1">
      <c r="B20" s="2342" t="s">
        <v>502</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3" customHeight="1">
      <c r="B21" s="2342" t="s">
        <v>1263</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3" customHeight="1">
      <c r="B22" s="2342" t="s">
        <v>503</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3" customHeight="1">
      <c r="B23" s="2342" t="s">
        <v>504</v>
      </c>
      <c r="C23" s="2343"/>
      <c r="D23" s="2343"/>
      <c r="E23" s="2343"/>
      <c r="F23" s="2343"/>
      <c r="G23" s="2343"/>
      <c r="H23" s="2343"/>
      <c r="I23" s="2343"/>
      <c r="J23" s="2343"/>
      <c r="K23" s="2343"/>
      <c r="L23" s="2343"/>
      <c r="M23" s="2343"/>
      <c r="N23" s="2343"/>
      <c r="O23" s="2343"/>
      <c r="P23" s="2343"/>
      <c r="Q23" s="2343"/>
      <c r="R23" s="2343"/>
      <c r="S23" s="2344"/>
      <c r="T23" s="2355">
        <f>T11+T22</f>
        <v>100934676</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3" customHeight="1">
      <c r="B24" s="2342" t="s">
        <v>961</v>
      </c>
      <c r="C24" s="2343"/>
      <c r="D24" s="2343"/>
      <c r="E24" s="2343"/>
      <c r="F24" s="2343"/>
      <c r="G24" s="2343"/>
      <c r="H24" s="2343"/>
      <c r="I24" s="2343"/>
      <c r="J24" s="2343"/>
      <c r="K24" s="2343"/>
      <c r="L24" s="2343"/>
      <c r="M24" s="2343"/>
      <c r="N24" s="2343"/>
      <c r="O24" s="2343"/>
      <c r="P24" s="2343"/>
      <c r="Q24" s="2343"/>
      <c r="R24" s="2343"/>
      <c r="S24" s="2344"/>
      <c r="T24" s="2346">
        <f>Application!AJ1053</f>
        <v>252197846</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3" customHeight="1">
      <c r="B25" s="2386" t="s">
        <v>1264</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3" customHeight="1">
      <c r="B26" s="2342" t="s">
        <v>505</v>
      </c>
      <c r="C26" s="2343"/>
      <c r="D26" s="2343"/>
      <c r="E26" s="2343"/>
      <c r="F26" s="2343"/>
      <c r="G26" s="2343"/>
      <c r="H26" s="2343"/>
      <c r="I26" s="2343"/>
      <c r="J26" s="2343"/>
      <c r="K26" s="2343"/>
      <c r="L26" s="2343"/>
      <c r="M26" s="2343"/>
      <c r="N26" s="2343"/>
      <c r="O26" s="2343"/>
      <c r="P26" s="2343"/>
      <c r="Q26" s="2343"/>
      <c r="R26" s="2343"/>
      <c r="S26" s="2344"/>
      <c r="T26" s="2355">
        <f>T23*T25</f>
        <v>131215078.80000001</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3" customHeight="1">
      <c r="A27" s="410"/>
      <c r="B27" s="2389" t="s">
        <v>425</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3"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55">
        <f>IF(ISERROR((T26*T27)),0,(T26*T27))</f>
        <v>131215078.80000001</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3" customHeight="1">
      <c r="B29" s="2342" t="s">
        <v>523</v>
      </c>
      <c r="C29" s="2343"/>
      <c r="D29" s="2343"/>
      <c r="E29" s="2343"/>
      <c r="F29" s="2343"/>
      <c r="G29" s="2343"/>
      <c r="H29" s="2343"/>
      <c r="I29" s="2343"/>
      <c r="J29" s="2343"/>
      <c r="K29" s="2343"/>
      <c r="L29" s="2343"/>
      <c r="M29" s="2343"/>
      <c r="N29" s="2343"/>
      <c r="O29" s="2343"/>
      <c r="P29" s="2343"/>
      <c r="Q29" s="2343"/>
      <c r="R29" s="2343"/>
      <c r="S29" s="2344"/>
      <c r="T29" s="2346">
        <f>T28+Y28+AD28+AI28</f>
        <v>131215078.80000001</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3" customHeight="1">
      <c r="B30" s="2359" t="s">
        <v>1266</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3" customHeight="1">
      <c r="B31" s="2359" t="s">
        <v>1265</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1154</v>
      </c>
      <c r="Z35" s="2356"/>
      <c r="AA35" s="2356"/>
      <c r="AB35" s="2356"/>
      <c r="AC35" s="2356"/>
      <c r="AD35" s="2357" t="s">
        <v>368</v>
      </c>
      <c r="AE35" s="2357"/>
      <c r="AF35" s="2357"/>
      <c r="AG35" s="2357"/>
      <c r="AH35" s="2357"/>
    </row>
    <row r="36" spans="1:76" ht="13" customHeight="1">
      <c r="B36" s="407"/>
      <c r="X36" s="412"/>
      <c r="Y36" s="2356"/>
      <c r="Z36" s="2356"/>
      <c r="AA36" s="2356"/>
      <c r="AB36" s="2356"/>
      <c r="AC36" s="2356"/>
      <c r="AD36" s="2357"/>
      <c r="AE36" s="2357"/>
      <c r="AF36" s="2357"/>
      <c r="AG36" s="2357"/>
      <c r="AH36" s="2357"/>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3"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131215078.80000001</v>
      </c>
      <c r="Z38" s="2336"/>
      <c r="AA38" s="2336"/>
      <c r="AB38" s="2336"/>
      <c r="AC38" s="2336"/>
      <c r="AD38" s="2336">
        <f>IF(T24&gt;=(T23+Y23+AD23+AI23),AD28+AI28,0)</f>
        <v>0</v>
      </c>
      <c r="AE38" s="2336"/>
      <c r="AF38" s="2336"/>
      <c r="AG38" s="2336"/>
      <c r="AH38" s="2336"/>
    </row>
    <row r="39" spans="1:76" ht="13"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3"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5248603</v>
      </c>
      <c r="Z40" s="2336"/>
      <c r="AA40" s="2336"/>
      <c r="AB40" s="2336"/>
      <c r="AC40" s="2336"/>
      <c r="AD40" s="2355">
        <f>ROUND(AD38*AD39,0)</f>
        <v>0</v>
      </c>
      <c r="AE40" s="2336"/>
      <c r="AF40" s="2336"/>
      <c r="AG40" s="2336"/>
      <c r="AH40" s="2336"/>
    </row>
    <row r="41" spans="1:76" ht="13"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5248603</v>
      </c>
      <c r="Z41" s="2354"/>
      <c r="AA41" s="2354"/>
      <c r="AB41" s="2354"/>
      <c r="AC41" s="2354"/>
      <c r="AD41" s="2354"/>
      <c r="AE41" s="2354"/>
      <c r="AF41" s="2354"/>
      <c r="AG41" s="2354"/>
      <c r="AH41" s="235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3" t="s">
        <v>1276</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3" customHeight="1" thickTop="1"/>
    <row r="46" spans="1:76" ht="13" customHeight="1">
      <c r="A46" s="404" t="s">
        <v>586</v>
      </c>
      <c r="C46" s="404" t="s">
        <v>281</v>
      </c>
    </row>
    <row r="47" spans="1:76" ht="13" customHeight="1">
      <c r="D47" s="404" t="s">
        <v>282</v>
      </c>
      <c r="AB47" s="2350">
        <f>'Sources and Uses Budget'!B105-MAX(IF('Sources and Uses Budget'!B15="",0,'Sources and Uses Budget'!B15),IF(Application!AG394="",0,Application!AG394))</f>
        <v>112039501</v>
      </c>
      <c r="AC47" s="2351"/>
      <c r="AD47" s="2351"/>
      <c r="AE47" s="2351"/>
      <c r="AF47" s="2352"/>
    </row>
    <row r="48" spans="1:76" ht="13" customHeight="1">
      <c r="D48" s="404" t="s">
        <v>21</v>
      </c>
      <c r="AB48" s="2350">
        <f>Application!AO639-MAX(IF('Sources and Uses Budget'!B15="",0,'Sources and Uses Budget'!B15),IF(Application!AG394="",0,Application!AG394))</f>
        <v>44173392</v>
      </c>
      <c r="AC48" s="2351"/>
      <c r="AD48" s="2351"/>
      <c r="AE48" s="2351"/>
      <c r="AF48" s="2352"/>
    </row>
    <row r="49" spans="1:76" ht="13" customHeight="1">
      <c r="D49" s="404" t="s">
        <v>91</v>
      </c>
      <c r="AB49" s="2350">
        <f>AB47-AB48</f>
        <v>67866109</v>
      </c>
      <c r="AC49" s="2351"/>
      <c r="AD49" s="2351"/>
      <c r="AE49" s="2351"/>
      <c r="AF49" s="2352"/>
    </row>
    <row r="50" spans="1:76" ht="13" customHeight="1">
      <c r="D50" s="404" t="s">
        <v>681</v>
      </c>
      <c r="AA50" s="415"/>
      <c r="AB50" s="2338">
        <v>0.87696300000000005</v>
      </c>
      <c r="AC50" s="2339"/>
      <c r="AD50" s="2339"/>
      <c r="AE50" s="2339"/>
      <c r="AF50" s="2340"/>
    </row>
    <row r="51" spans="1:76" s="417" customFormat="1" ht="13" customHeight="1">
      <c r="A51" s="402"/>
      <c r="B51" s="402"/>
      <c r="C51" s="402"/>
      <c r="D51" s="402"/>
      <c r="E51" s="2349" t="s">
        <v>1850</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50">
        <f>ROUND(IF(ISERROR((AB49/AB50)),0,(AB49/AB50)),0)</f>
        <v>77387654</v>
      </c>
      <c r="AC54" s="2351"/>
      <c r="AD54" s="2351"/>
      <c r="AE54" s="2351"/>
      <c r="AF54" s="2352"/>
    </row>
    <row r="55" spans="1:76" ht="13" customHeight="1">
      <c r="D55" s="404" t="s">
        <v>332</v>
      </c>
      <c r="AB55" s="2350">
        <f>(AB54/10)</f>
        <v>7738765.4000000004</v>
      </c>
      <c r="AC55" s="2351"/>
      <c r="AD55" s="2351"/>
      <c r="AE55" s="2351"/>
      <c r="AF55" s="2352"/>
    </row>
    <row r="56" spans="1:76" ht="13" customHeight="1">
      <c r="D56" s="404" t="s">
        <v>756</v>
      </c>
      <c r="AB56" s="2350">
        <f>ROUND((IF((Y41&lt;AB55),Y41,AB55)),0)</f>
        <v>5248603</v>
      </c>
      <c r="AC56" s="2351"/>
      <c r="AD56" s="2351"/>
      <c r="AE56" s="2351"/>
      <c r="AF56" s="2352"/>
    </row>
    <row r="57" spans="1:76" ht="13" customHeight="1">
      <c r="D57" s="404" t="s">
        <v>755</v>
      </c>
      <c r="AB57" s="2350">
        <f>ROUND((10*AB56*AB50),0)</f>
        <v>46028306</v>
      </c>
      <c r="AC57" s="2351"/>
      <c r="AD57" s="2351"/>
      <c r="AE57" s="2351"/>
      <c r="AF57" s="2352"/>
    </row>
    <row r="58" spans="1:76" ht="13" customHeight="1">
      <c r="D58" s="404"/>
      <c r="AB58" s="423"/>
      <c r="AC58" s="423"/>
      <c r="AD58" s="423"/>
      <c r="AE58" s="423"/>
      <c r="AF58" s="423"/>
    </row>
    <row r="59" spans="1:76" ht="13" customHeight="1">
      <c r="D59" s="404" t="s">
        <v>754</v>
      </c>
      <c r="AB59" s="2334">
        <f>AB49-AB57</f>
        <v>21837803</v>
      </c>
      <c r="AC59" s="2334"/>
      <c r="AD59" s="2334"/>
      <c r="AE59" s="2334"/>
      <c r="AF59" s="2334"/>
    </row>
    <row r="60" spans="1:76" ht="13" customHeight="1">
      <c r="D60" s="404"/>
      <c r="AB60" s="423"/>
      <c r="AC60" s="423"/>
      <c r="AD60" s="423"/>
      <c r="AE60" s="423"/>
      <c r="AF60" s="423"/>
    </row>
    <row r="61" spans="1:76" s="204" customFormat="1" ht="13"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3" customHeight="1" thickTop="1"/>
    <row r="63" spans="1:76" ht="13" customHeight="1">
      <c r="A63" s="404" t="s">
        <v>589</v>
      </c>
      <c r="C63" s="205" t="s">
        <v>1248</v>
      </c>
      <c r="Y63" s="2345" t="s">
        <v>984</v>
      </c>
      <c r="Z63" s="2345"/>
      <c r="AA63" s="2345"/>
      <c r="AB63" s="2345"/>
      <c r="AC63" s="2345"/>
      <c r="AD63" s="2345" t="s">
        <v>368</v>
      </c>
      <c r="AE63" s="2345"/>
      <c r="AF63" s="2345"/>
      <c r="AG63" s="2345"/>
      <c r="AH63" s="2345"/>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100934676</v>
      </c>
      <c r="Z64" s="2347"/>
      <c r="AA64" s="2347"/>
      <c r="AB64" s="2347"/>
      <c r="AC64" s="2348"/>
      <c r="AD64" s="2346">
        <f>IF(AND(OR(Application!D211="At-Risk",Application!D211="At-Risk and Special Needs"),Application!M358="yes"),AD28+AI28,0)</f>
        <v>0</v>
      </c>
      <c r="AE64" s="2347"/>
      <c r="AF64" s="2347"/>
      <c r="AG64" s="2347"/>
      <c r="AH64" s="2348"/>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0.3</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3" customHeight="1">
      <c r="C68" s="404"/>
      <c r="D68" s="205" t="s">
        <v>2226</v>
      </c>
      <c r="Y68" s="2336">
        <f>ROUND(Y64*Y67,0)</f>
        <v>30280403</v>
      </c>
      <c r="Z68" s="2337"/>
      <c r="AA68" s="2337"/>
      <c r="AB68" s="2337"/>
      <c r="AC68" s="2337"/>
      <c r="AD68" s="2336">
        <f>ROUND(AD64*AD67,0)</f>
        <v>0</v>
      </c>
      <c r="AE68" s="2337"/>
      <c r="AF68" s="2337"/>
      <c r="AG68" s="2337"/>
      <c r="AH68" s="2337"/>
    </row>
    <row r="69" spans="1:36" ht="13" customHeight="1">
      <c r="C69" s="404"/>
      <c r="D69" s="205" t="s">
        <v>2227</v>
      </c>
      <c r="Y69" s="2336">
        <f>IF(OR(Application!Z205="State Farmworker Credit",Application!Z205="$500M (Farmworker Housing)"),Y68+AD68,MIN(Y68+AD68,200000*(Application!G753+Application!O777)))</f>
        <v>26000000</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38">
        <f>AB59/Y69</f>
        <v>0.83991550000000004</v>
      </c>
      <c r="AC72" s="2339"/>
      <c r="AD72" s="2339"/>
      <c r="AE72" s="2339"/>
      <c r="AF72" s="2340"/>
    </row>
    <row r="73" spans="1:36" ht="13" customHeight="1">
      <c r="A73" s="404"/>
      <c r="C73" s="404"/>
      <c r="D73" s="404"/>
      <c r="E73" s="2341" t="s">
        <v>1251</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3"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3"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29">
        <f>ROUND(IF(ISERROR((AB59/AB72)),0,(AB59/AB72)),0)</f>
        <v>26000000</v>
      </c>
      <c r="AC77" s="2329"/>
      <c r="AD77" s="2329"/>
      <c r="AE77" s="2329"/>
      <c r="AF77" s="2329"/>
    </row>
    <row r="78" spans="1:36" ht="13" customHeight="1">
      <c r="C78" s="404"/>
      <c r="D78" s="205" t="s">
        <v>1253</v>
      </c>
      <c r="AB78" s="2330">
        <f>ROUNDUP(MIN(Y69,AB77),0)</f>
        <v>26000000</v>
      </c>
      <c r="AC78" s="2331"/>
      <c r="AD78" s="2331"/>
      <c r="AE78" s="2331"/>
      <c r="AF78" s="2332"/>
    </row>
    <row r="79" spans="1:36" ht="13" customHeight="1">
      <c r="C79" s="404"/>
      <c r="D79" s="205" t="s">
        <v>1254</v>
      </c>
      <c r="AB79" s="2333">
        <f>AB78*AB72</f>
        <v>21837803</v>
      </c>
      <c r="AC79" s="2333"/>
      <c r="AD79" s="2333"/>
      <c r="AE79" s="2333"/>
      <c r="AF79" s="2333"/>
    </row>
    <row r="80" spans="1:36" ht="13" customHeight="1">
      <c r="C80" s="404"/>
      <c r="D80" s="404"/>
      <c r="AB80" s="425"/>
      <c r="AC80" s="425"/>
      <c r="AD80" s="425"/>
      <c r="AE80" s="425"/>
      <c r="AF80" s="425"/>
    </row>
    <row r="81" spans="1:78" ht="13" customHeight="1">
      <c r="D81" s="404" t="s">
        <v>754</v>
      </c>
      <c r="AB81" s="2334">
        <f>AB49-(AB57+AB79)</f>
        <v>0</v>
      </c>
      <c r="AC81" s="2334"/>
      <c r="AD81" s="2334"/>
      <c r="AE81" s="2334"/>
      <c r="AF81" s="2334"/>
    </row>
    <row r="82" spans="1:78" ht="13" customHeight="1">
      <c r="F82" s="522"/>
      <c r="J82" s="522" t="str">
        <f>IF(AB81&gt;0,"FUNDING GAP MUST NOT EXCEED ZERO","")</f>
        <v/>
      </c>
    </row>
    <row r="83" spans="1:78" ht="13" customHeight="1">
      <c r="D83" s="523"/>
    </row>
    <row r="84" spans="1:78" ht="13"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3" customHeight="1" thickTop="1"/>
    <row r="86" spans="1:78" ht="13" customHeight="1">
      <c r="A86" s="404"/>
      <c r="C86" s="205"/>
    </row>
    <row r="87" spans="1:78" ht="13" customHeight="1">
      <c r="D87" s="205"/>
      <c r="AB87" s="2385"/>
      <c r="AC87" s="2385"/>
      <c r="AD87" s="2385"/>
      <c r="AE87" s="2385"/>
      <c r="AF87" s="2385"/>
    </row>
    <row r="88" spans="1:78" ht="13"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9" workbookViewId="0">
      <selection activeCell="F433" sqref="F433:AE441"/>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34"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427" t="s">
        <v>1300</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1305</v>
      </c>
      <c r="AF7" s="2408"/>
      <c r="AG7" s="2408"/>
      <c r="AH7" s="2408"/>
      <c r="AI7" s="2408"/>
      <c r="AJ7" s="2408"/>
      <c r="AK7" s="2408"/>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591</v>
      </c>
      <c r="C13" s="2398"/>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591</v>
      </c>
      <c r="C16" s="2398"/>
      <c r="D16" s="547"/>
      <c r="E16" s="2409" t="s">
        <v>1307</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591</v>
      </c>
      <c r="C22" s="2398"/>
      <c r="D22" s="547"/>
      <c r="E22" s="2434" t="s">
        <v>1310</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591</v>
      </c>
      <c r="C25" s="2398"/>
      <c r="D25" s="547"/>
      <c r="E25" s="2399" t="s">
        <v>2034</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591</v>
      </c>
      <c r="C28" s="2398"/>
      <c r="D28" s="547"/>
      <c r="E28" s="2422" t="s">
        <v>2250</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8" t="s">
        <v>591</v>
      </c>
      <c r="C33" s="2398"/>
      <c r="D33" s="547"/>
      <c r="E33" s="2434" t="s">
        <v>2252</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591</v>
      </c>
      <c r="C36" s="2398"/>
      <c r="D36" s="547"/>
      <c r="E36" s="2399" t="s">
        <v>2253</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591</v>
      </c>
      <c r="C40" s="2398"/>
      <c r="D40" s="547"/>
      <c r="E40" s="2399" t="s">
        <v>2251</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591</v>
      </c>
      <c r="C45" s="2398"/>
      <c r="D45" s="1142"/>
      <c r="E45" s="2399" t="s">
        <v>2009</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591</v>
      </c>
      <c r="C52" s="2398"/>
      <c r="D52" s="540"/>
      <c r="E52" s="2399" t="s">
        <v>2014</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591</v>
      </c>
      <c r="C56" s="2398"/>
      <c r="D56" s="540"/>
      <c r="E56" s="2419" t="s">
        <v>2015</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591</v>
      </c>
      <c r="C58" s="2398"/>
      <c r="D58" s="540"/>
      <c r="E58" s="2399" t="s">
        <v>2016</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1314</v>
      </c>
      <c r="AF65" s="2408"/>
      <c r="AG65" s="2408"/>
      <c r="AH65" s="2408"/>
      <c r="AI65" s="2408"/>
      <c r="AJ65" s="2408"/>
      <c r="AK65" s="2408"/>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545</v>
      </c>
      <c r="C68" s="2398"/>
      <c r="D68" s="547" t="s">
        <v>1315</v>
      </c>
      <c r="E68" s="2409" t="s">
        <v>2017</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10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1316</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545</v>
      </c>
      <c r="C74" s="2398"/>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545</v>
      </c>
      <c r="F75" s="2398"/>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591</v>
      </c>
      <c r="F76" s="2397"/>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591</v>
      </c>
      <c r="F77" s="2397"/>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591</v>
      </c>
      <c r="F79" s="2398"/>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591</v>
      </c>
      <c r="C81" s="2398"/>
      <c r="D81" s="547" t="s">
        <v>1320</v>
      </c>
      <c r="E81" s="2399" t="s">
        <v>1740</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1305</v>
      </c>
      <c r="AF87" s="2408"/>
      <c r="AG87" s="2408"/>
      <c r="AH87" s="2408"/>
      <c r="AI87" s="2408"/>
      <c r="AJ87" s="2408"/>
      <c r="AK87" s="2408"/>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591</v>
      </c>
      <c r="C90" s="2398"/>
      <c r="D90" s="547" t="s">
        <v>1315</v>
      </c>
      <c r="E90" s="2409" t="s">
        <v>1325</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0.40390624999999997</v>
      </c>
      <c r="F93" s="2393"/>
      <c r="G93" s="2393"/>
      <c r="H93" s="239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0.18999999999999995</v>
      </c>
      <c r="F94" s="2395"/>
      <c r="G94" s="2395"/>
      <c r="H94" s="2395"/>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20</v>
      </c>
      <c r="F95" s="2426"/>
      <c r="G95" s="2426"/>
      <c r="H95" s="2426"/>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545</v>
      </c>
      <c r="C98" s="2398"/>
      <c r="D98" s="547" t="s">
        <v>1317</v>
      </c>
      <c r="E98" s="2409" t="s">
        <v>1725</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0.40390624999999997</v>
      </c>
      <c r="F103" s="2393"/>
      <c r="G103" s="2393"/>
      <c r="H103" s="239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0.5</v>
      </c>
      <c r="F104" s="2393"/>
      <c r="G104" s="2393"/>
      <c r="H104" s="239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0.3046875</v>
      </c>
      <c r="F105" s="2393"/>
      <c r="G105" s="2393"/>
      <c r="H105" s="239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1314</v>
      </c>
      <c r="AF112" s="2408"/>
      <c r="AG112" s="2408"/>
      <c r="AH112" s="2408"/>
      <c r="AI112" s="2408"/>
      <c r="AJ112" s="2408"/>
      <c r="AK112" s="2408"/>
      <c r="AL112" s="540"/>
      <c r="AM112" s="540"/>
      <c r="AN112" s="535"/>
      <c r="AO112" s="536" t="str">
        <f>Application!B718</f>
        <v>SRO/Studio</v>
      </c>
      <c r="AQ112" s="536">
        <f>Application!O718</f>
        <v>1005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1071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1277</v>
      </c>
    </row>
    <row r="115" spans="1:52" s="536" customFormat="1" ht="12.75" customHeight="1">
      <c r="A115" s="540"/>
      <c r="B115" s="2398" t="s">
        <v>545</v>
      </c>
      <c r="C115" s="2398"/>
      <c r="D115" s="547" t="s">
        <v>1315</v>
      </c>
      <c r="E115" s="2409" t="s">
        <v>1858</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3 Bedrooms</v>
      </c>
      <c r="AQ115" s="536">
        <f>Application!O721</f>
        <v>1464</v>
      </c>
      <c r="AU115" s="536" t="s">
        <v>1840</v>
      </c>
      <c r="AV115" s="595" t="s">
        <v>1841</v>
      </c>
      <c r="AW115" s="536" t="s">
        <v>1842</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2 Bedrooms</v>
      </c>
      <c r="AQ116" s="536">
        <f>Application!O722</f>
        <v>1277</v>
      </c>
      <c r="AU116" s="856" t="str">
        <f>E124</f>
        <v>Studio/SRO</v>
      </c>
      <c r="AV116" s="536">
        <f t="array" ref="AV116">SUM(IF(Application!B718:F752="SRO/Studio",Application!G718:J752))</f>
        <v>24</v>
      </c>
      <c r="AW116" s="1011">
        <f>AV116/AV122</f>
        <v>0.1875</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3 Bedrooms</v>
      </c>
      <c r="AQ117" s="536">
        <f>Application!O723</f>
        <v>1464</v>
      </c>
      <c r="AU117" s="856" t="str">
        <f>J124</f>
        <v>1-bedroom</v>
      </c>
      <c r="AV117" s="536">
        <f t="array" ref="AV117">SUM(IF(Application!B718:F752="1 Bedroom",Application!G718:J752))</f>
        <v>40</v>
      </c>
      <c r="AW117" s="1011">
        <f>AV117/AV122</f>
        <v>0.3125</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SRO/Studio</v>
      </c>
      <c r="AQ118" s="536">
        <f>Application!O724</f>
        <v>1356</v>
      </c>
      <c r="AU118" s="856" t="str">
        <f>O124</f>
        <v>2-bedroom</v>
      </c>
      <c r="AV118" s="536">
        <f t="array" ref="AV118">SUM(IF(Application!B718:F752="2 Bedrooms",Application!G718:J752))</f>
        <v>32</v>
      </c>
      <c r="AW118" s="1011">
        <f>AV118/AV122</f>
        <v>0.25</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1 Bedroom</v>
      </c>
      <c r="AQ119" s="536">
        <f>Application!O725</f>
        <v>1448</v>
      </c>
      <c r="AU119" s="856" t="str">
        <f>T124</f>
        <v>3-bedroom</v>
      </c>
      <c r="AV119" s="536">
        <f t="array" ref="AV119">SUM(IF(Application!B718:F752="3 Bedrooms",Application!G718:J752))</f>
        <v>32</v>
      </c>
      <c r="AW119" s="1011">
        <f>AV119/AV122</f>
        <v>0.25</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2 Bedrooms</v>
      </c>
      <c r="AQ120" s="536">
        <f>Application!O726</f>
        <v>1729</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t="str">
        <f>Application!B727</f>
        <v>3 Bedrooms</v>
      </c>
      <c r="AQ121" s="536">
        <f>Application!O727</f>
        <v>1986</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t="str">
        <f>Application!B728</f>
        <v>2 Bedrooms</v>
      </c>
      <c r="AQ122" s="536">
        <f>Application!O728</f>
        <v>1729</v>
      </c>
      <c r="AV122" s="536">
        <f>SUM(AV116:AV121)</f>
        <v>128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1986</v>
      </c>
    </row>
    <row r="124" spans="1:52" s="536" customFormat="1" ht="12.75" customHeight="1">
      <c r="A124" s="540"/>
      <c r="B124" s="539"/>
      <c r="C124" s="540"/>
      <c r="D124" s="540"/>
      <c r="E124" s="2392" t="s">
        <v>1588</v>
      </c>
      <c r="F124" s="2393"/>
      <c r="G124" s="2393"/>
      <c r="H124" s="2393"/>
      <c r="I124" s="577"/>
      <c r="J124" s="2393" t="s">
        <v>1631</v>
      </c>
      <c r="K124" s="2393"/>
      <c r="L124" s="2393"/>
      <c r="M124" s="2393"/>
      <c r="N124" s="577"/>
      <c r="O124" s="2393" t="s">
        <v>1632</v>
      </c>
      <c r="P124" s="2393"/>
      <c r="Q124" s="2393"/>
      <c r="R124" s="2393"/>
      <c r="S124" s="577"/>
      <c r="T124" s="2393" t="s">
        <v>1334</v>
      </c>
      <c r="U124" s="2393"/>
      <c r="V124" s="2393"/>
      <c r="W124" s="2393"/>
      <c r="X124" s="577"/>
      <c r="Y124" s="2393" t="s">
        <v>1633</v>
      </c>
      <c r="Z124" s="2393"/>
      <c r="AA124" s="2393"/>
      <c r="AB124" s="2393"/>
      <c r="AC124" s="577"/>
      <c r="AD124" s="2393" t="s">
        <v>1634</v>
      </c>
      <c r="AE124" s="2393"/>
      <c r="AF124" s="2393"/>
      <c r="AG124" s="2393"/>
      <c r="AH124" s="577"/>
      <c r="AI124" s="577"/>
      <c r="AJ124" s="579"/>
      <c r="AK124" s="540"/>
      <c r="AL124" s="540"/>
      <c r="AM124" s="540"/>
      <c r="AN124" s="535"/>
      <c r="AO124" s="536" t="str">
        <f>Application!B730</f>
        <v>SRO/Studio</v>
      </c>
      <c r="AQ124" s="536">
        <f>Application!O730</f>
        <v>1708</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1 Bedroom</v>
      </c>
      <c r="AQ125" s="536">
        <f>Application!O731</f>
        <v>1825</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2 Bedrooms</v>
      </c>
      <c r="AQ126" s="536">
        <f>Application!O732</f>
        <v>2181</v>
      </c>
    </row>
    <row r="127" spans="1:52" s="536" customFormat="1" ht="12.75" customHeight="1">
      <c r="A127" s="540"/>
      <c r="B127" s="539"/>
      <c r="C127" s="540"/>
      <c r="D127" s="540"/>
      <c r="E127" s="2452">
        <v>1886</v>
      </c>
      <c r="F127" s="2453"/>
      <c r="G127" s="2453"/>
      <c r="H127" s="2453"/>
      <c r="I127" s="864"/>
      <c r="J127" s="2453">
        <v>2015</v>
      </c>
      <c r="K127" s="2453"/>
      <c r="L127" s="2453"/>
      <c r="M127" s="2453"/>
      <c r="N127" s="864"/>
      <c r="O127" s="2453">
        <v>2408</v>
      </c>
      <c r="P127" s="2453"/>
      <c r="Q127" s="2453"/>
      <c r="R127" s="2453"/>
      <c r="S127" s="864"/>
      <c r="T127" s="2453">
        <v>2772</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t="str">
        <f>Application!B733</f>
        <v>3 Bedrooms</v>
      </c>
      <c r="AQ127" s="536">
        <f>Application!O733</f>
        <v>2508</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2 Bedrooms</v>
      </c>
      <c r="AQ128" s="536">
        <f>Application!O734</f>
        <v>2181</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3 Bedrooms</v>
      </c>
      <c r="AQ129" s="536">
        <f>Application!O735</f>
        <v>2508</v>
      </c>
      <c r="AU129" s="1009"/>
      <c r="AV129" s="1009"/>
      <c r="AW129" s="1009"/>
      <c r="AX129" s="1009"/>
      <c r="AY129" s="1009"/>
      <c r="AZ129" s="1009"/>
    </row>
    <row r="130" spans="1:52" s="536" customFormat="1" ht="12.75" customHeight="1">
      <c r="A130" s="540"/>
      <c r="B130" s="539"/>
      <c r="C130" s="540"/>
      <c r="D130" s="540"/>
      <c r="E130" s="2445">
        <f>Application!DX670</f>
        <v>1297.8333333333333</v>
      </c>
      <c r="F130" s="2446"/>
      <c r="G130" s="2446"/>
      <c r="H130" s="2446"/>
      <c r="I130" s="864"/>
      <c r="J130" s="2446">
        <f>Application!EC670</f>
        <v>1683.625</v>
      </c>
      <c r="K130" s="2446"/>
      <c r="L130" s="2446"/>
      <c r="M130" s="2446"/>
      <c r="N130" s="864"/>
      <c r="O130" s="2446">
        <f>Application!EH670</f>
        <v>1616</v>
      </c>
      <c r="P130" s="2446"/>
      <c r="Q130" s="2446"/>
      <c r="R130" s="2446"/>
      <c r="S130" s="868"/>
      <c r="T130" s="2446">
        <f>Application!EM670</f>
        <v>1855.5</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t="str">
        <f>Application!B736</f>
        <v>SRO/Studio</v>
      </c>
      <c r="AQ130" s="536">
        <f>Application!O736</f>
        <v>2060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t="str">
        <f>Application!B737</f>
        <v>1 Bedroom</v>
      </c>
      <c r="AQ131" s="536">
        <f>Application!O737</f>
        <v>2202</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t="str">
        <f>Application!B738</f>
        <v>2 Bedrooms</v>
      </c>
      <c r="AQ132" s="536">
        <f>Application!O738</f>
        <v>2633</v>
      </c>
      <c r="AU132" s="1009"/>
      <c r="AV132" s="1009"/>
      <c r="AW132" s="1010"/>
      <c r="AX132" s="1010"/>
      <c r="AY132" s="1009"/>
      <c r="AZ132" s="1009"/>
    </row>
    <row r="133" spans="1:52" s="536" customFormat="1" ht="12.75" customHeight="1">
      <c r="A133" s="540"/>
      <c r="B133" s="539"/>
      <c r="C133" s="540"/>
      <c r="D133" s="540"/>
      <c r="E133" s="2644">
        <f>(E127-E130)/E127</f>
        <v>0.31185931424531643</v>
      </c>
      <c r="F133" s="2395"/>
      <c r="G133" s="2395"/>
      <c r="H133" s="2645"/>
      <c r="I133" s="577"/>
      <c r="J133" s="2644">
        <f>(J127-J130)/J127</f>
        <v>0.16445409429280397</v>
      </c>
      <c r="K133" s="2395"/>
      <c r="L133" s="2395"/>
      <c r="M133" s="2645"/>
      <c r="N133" s="577"/>
      <c r="O133" s="2644">
        <f>(O127-O130)/O127</f>
        <v>0.32890365448504982</v>
      </c>
      <c r="P133" s="2395"/>
      <c r="Q133" s="2395"/>
      <c r="R133" s="2645"/>
      <c r="S133" s="577"/>
      <c r="T133" s="2644">
        <f>(T127-T130)/T127</f>
        <v>0.3306277056277056</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t="str">
        <f>Application!B739</f>
        <v>3 Bedrooms</v>
      </c>
      <c r="AQ133" s="536">
        <f>Application!O739</f>
        <v>3030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f>IF(((E133-0.1)*AW116)&gt;0,((E133-0.1)*AW116),0)</f>
        <v>3.9723621420996828E-2</v>
      </c>
      <c r="F136" s="2448"/>
      <c r="G136" s="2448"/>
      <c r="H136" s="2449"/>
      <c r="I136" s="577"/>
      <c r="J136" s="2447">
        <f>IF(((J133-0.1)*AW117)&gt;0,((J133-0.1)*AW117),0)</f>
        <v>2.0141904466501239E-2</v>
      </c>
      <c r="K136" s="2448"/>
      <c r="L136" s="2448"/>
      <c r="M136" s="2449"/>
      <c r="N136" s="577"/>
      <c r="O136" s="2447">
        <f>IF(((O133-0.1)*AW118)&gt;0,((O133-0.1)*AW118),0)</f>
        <v>5.7225913621262454E-2</v>
      </c>
      <c r="P136" s="2448"/>
      <c r="Q136" s="2448"/>
      <c r="R136" s="2449"/>
      <c r="S136" s="577"/>
      <c r="T136" s="2447">
        <f>IF(((T133-0.1)*AW119)&gt;0,((T133-0.1)*AW119),0)</f>
        <v>5.76569264069264E-2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0.17</v>
      </c>
      <c r="F138" s="2395"/>
      <c r="G138" s="2395"/>
      <c r="H138" s="2645"/>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8" t="s">
        <v>1314</v>
      </c>
      <c r="AF146" s="2408"/>
      <c r="AG146" s="2408"/>
      <c r="AH146" s="2408"/>
      <c r="AI146" s="2408"/>
      <c r="AJ146" s="2408"/>
      <c r="AK146" s="2408"/>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1338</v>
      </c>
      <c r="AG148" s="2443"/>
      <c r="AH148" s="2443"/>
      <c r="AI148" s="2443"/>
      <c r="AJ148" s="2443"/>
      <c r="AK148" s="2443"/>
      <c r="AL148" s="2443"/>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2632</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0" t="s">
        <v>1341</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1" t="s">
        <v>545</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0" t="s">
        <v>1346</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2477</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2478</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2476</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591</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1352</v>
      </c>
      <c r="AG168" s="2443"/>
      <c r="AH168" s="2443"/>
      <c r="AI168" s="2443"/>
      <c r="AJ168" s="2443"/>
      <c r="AK168" s="2443"/>
      <c r="AL168" s="2443"/>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1350</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545</v>
      </c>
      <c r="AG172" s="247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0" t="s">
        <v>1356</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2" t="str">
        <f>Application!AA335</f>
        <v>Charities Housing Development Corporation of Santa Clara County</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1314</v>
      </c>
      <c r="AF186" s="2408"/>
      <c r="AG186" s="2408"/>
      <c r="AH186" s="2408"/>
      <c r="AI186" s="2408"/>
      <c r="AJ186" s="2408"/>
      <c r="AK186" s="2408"/>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8" t="s">
        <v>1041</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1363</v>
      </c>
      <c r="AG188" s="2443"/>
      <c r="AH188" s="2443"/>
      <c r="AI188" s="2443"/>
      <c r="AJ188" s="2443"/>
      <c r="AK188" s="2443"/>
      <c r="AL188" s="2443"/>
      <c r="AN188" s="597"/>
      <c r="AP188" s="550" t="s">
        <v>1043</v>
      </c>
      <c r="AQ188" s="550">
        <v>10</v>
      </c>
    </row>
    <row r="189" spans="1:73" s="550" customFormat="1" ht="12.75" customHeight="1">
      <c r="A189" s="536"/>
      <c r="B189" s="2469" t="s">
        <v>1726</v>
      </c>
      <c r="C189" s="2469"/>
      <c r="D189" s="2469"/>
      <c r="E189" s="2469"/>
      <c r="F189" s="2469"/>
      <c r="G189" s="2469"/>
      <c r="H189" s="2469"/>
      <c r="I189" s="2469"/>
      <c r="J189" s="2469"/>
      <c r="K189" s="2469"/>
      <c r="L189" s="2469"/>
      <c r="M189" s="2469"/>
      <c r="N189" s="2469"/>
      <c r="O189" s="2469"/>
      <c r="P189" s="2469"/>
      <c r="Q189" s="2469"/>
      <c r="R189" s="2469"/>
      <c r="S189" s="2469"/>
      <c r="T189" s="2444" t="s">
        <v>591</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8">
        <f>IF(AK84&gt;0,VLOOKUP($B$188,AP185:AQ191,2,FALSE),0)</f>
        <v>10</v>
      </c>
      <c r="AL191" s="2479"/>
      <c r="AM191" s="248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1372</v>
      </c>
      <c r="AF194" s="2408"/>
      <c r="AG194" s="2408"/>
      <c r="AH194" s="2408"/>
      <c r="AI194" s="2408"/>
      <c r="AJ194" s="2408"/>
      <c r="AK194" s="2408"/>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2695</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v>2500000</v>
      </c>
      <c r="AE199" s="2456"/>
      <c r="AF199" s="2456"/>
      <c r="AG199" s="2456"/>
      <c r="AH199" s="2456"/>
      <c r="AI199" s="2456"/>
      <c r="AJ199" s="2456"/>
      <c r="AK199" s="610"/>
    </row>
    <row r="200" spans="1:40">
      <c r="A200" s="605"/>
      <c r="B200" s="2455" t="s">
        <v>2701</v>
      </c>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v>5000000</v>
      </c>
      <c r="AE200" s="2456"/>
      <c r="AF200" s="2456"/>
      <c r="AG200" s="2456"/>
      <c r="AH200" s="2456"/>
      <c r="AI200" s="2456"/>
      <c r="AJ200" s="2456"/>
      <c r="AK200" s="610"/>
    </row>
    <row r="201" spans="1:40">
      <c r="A201" s="605"/>
      <c r="B201" s="2455" t="s">
        <v>2724</v>
      </c>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v>3000000</v>
      </c>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1627</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9843181.6400120892</v>
      </c>
      <c r="AE209" s="2485"/>
      <c r="AF209" s="2485"/>
      <c r="AG209" s="2485"/>
      <c r="AH209" s="2485"/>
      <c r="AI209" s="2485"/>
      <c r="AJ209" s="2485"/>
      <c r="AK209" s="610"/>
    </row>
    <row r="210" spans="1:37">
      <c r="A210" s="605"/>
      <c r="B210" s="2612" t="s">
        <v>1590</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0">
        <f>SUM(AD199:AJ209)-AD210</f>
        <v>20343181.640012089</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1607</v>
      </c>
      <c r="J222" s="2459"/>
      <c r="K222" s="2459"/>
      <c r="L222" s="536"/>
      <c r="M222" s="536"/>
      <c r="N222" s="536"/>
      <c r="O222" s="536"/>
      <c r="P222" s="536"/>
      <c r="Q222" s="536"/>
      <c r="R222" s="536"/>
      <c r="S222" s="536"/>
      <c r="T222" s="2647" t="s">
        <v>1601</v>
      </c>
      <c r="U222" s="2647"/>
      <c r="V222" s="2647"/>
      <c r="W222" s="2647"/>
      <c r="X222" s="2647"/>
      <c r="Y222" s="2647"/>
      <c r="Z222" s="849"/>
      <c r="AA222" s="489"/>
      <c r="AB222" s="2454" t="s">
        <v>1602</v>
      </c>
      <c r="AC222" s="2454"/>
      <c r="AD222" s="2454"/>
      <c r="AE222" s="2454"/>
      <c r="AF222" s="2454"/>
      <c r="AG222" s="2454"/>
      <c r="AH222" s="827"/>
      <c r="AI222" s="827"/>
      <c r="AJ222" s="827"/>
      <c r="AK222" s="610"/>
    </row>
    <row r="223" spans="1:37">
      <c r="A223" s="605"/>
      <c r="B223" s="2457" t="s">
        <v>1587</v>
      </c>
      <c r="C223" s="2457"/>
      <c r="D223" s="2457"/>
      <c r="E223" s="2457"/>
      <c r="F223" s="2457"/>
      <c r="G223" s="2457"/>
      <c r="I223" s="2458" t="s">
        <v>1608</v>
      </c>
      <c r="J223" s="2458"/>
      <c r="K223" s="2458"/>
      <c r="L223" s="1008"/>
      <c r="N223" s="2464" t="s">
        <v>1603</v>
      </c>
      <c r="O223" s="2464"/>
      <c r="P223" s="2464"/>
      <c r="Q223" s="2464"/>
      <c r="R223" s="2464"/>
      <c r="T223" s="2464" t="s">
        <v>1604</v>
      </c>
      <c r="U223" s="2464"/>
      <c r="V223" s="2464"/>
      <c r="W223" s="2464"/>
      <c r="X223" s="2464"/>
      <c r="Y223" s="2464"/>
      <c r="Z223" s="850"/>
      <c r="AA223" s="489"/>
      <c r="AB223" s="2601" t="s">
        <v>1605</v>
      </c>
      <c r="AC223" s="2601"/>
      <c r="AD223" s="2601"/>
      <c r="AE223" s="2601"/>
      <c r="AF223" s="2601"/>
      <c r="AG223" s="2601"/>
      <c r="AH223" s="827"/>
      <c r="AI223" s="827"/>
      <c r="AJ223" s="827"/>
      <c r="AK223" s="610"/>
    </row>
    <row r="224" spans="1:37">
      <c r="A224" s="605"/>
      <c r="B224" s="2461" t="s">
        <v>2725</v>
      </c>
      <c r="C224" s="2461"/>
      <c r="D224" s="2461"/>
      <c r="E224" s="2461"/>
      <c r="F224" s="2461"/>
      <c r="G224" s="2461"/>
      <c r="H224" s="852"/>
      <c r="I224" s="2460">
        <v>21</v>
      </c>
      <c r="J224" s="2460"/>
      <c r="K224" s="2460"/>
      <c r="L224" s="1008"/>
      <c r="N224" s="2465">
        <v>1809</v>
      </c>
      <c r="O224" s="2465"/>
      <c r="P224" s="2465"/>
      <c r="Q224" s="2465"/>
      <c r="R224" s="2465"/>
      <c r="T224" s="2613">
        <v>3715</v>
      </c>
      <c r="U224" s="2613"/>
      <c r="V224" s="2613"/>
      <c r="W224" s="2613"/>
      <c r="X224" s="2613"/>
      <c r="Y224" s="2613"/>
      <c r="Z224" s="851"/>
      <c r="AA224" s="851"/>
      <c r="AB224" s="2462">
        <f t="shared" ref="AB224:AB233" si="0">MAX(($T224-$N224)*$I224*12,0)</f>
        <v>480312</v>
      </c>
      <c r="AC224" s="2462"/>
      <c r="AD224" s="2462"/>
      <c r="AE224" s="2462"/>
      <c r="AF224" s="2462"/>
      <c r="AG224" s="2462"/>
      <c r="AH224" s="827"/>
      <c r="AI224" s="827"/>
      <c r="AJ224" s="827"/>
      <c r="AK224" s="610"/>
    </row>
    <row r="225" spans="1:37">
      <c r="A225" s="605"/>
      <c r="B225" s="2461" t="s">
        <v>2726</v>
      </c>
      <c r="C225" s="2461"/>
      <c r="D225" s="2461"/>
      <c r="E225" s="2461"/>
      <c r="F225" s="2461"/>
      <c r="G225" s="2461"/>
      <c r="I225" s="2460">
        <v>21</v>
      </c>
      <c r="J225" s="2460"/>
      <c r="K225" s="2460"/>
      <c r="L225" s="1008"/>
      <c r="N225" s="2465">
        <v>2089</v>
      </c>
      <c r="O225" s="2465"/>
      <c r="P225" s="2465"/>
      <c r="Q225" s="2465"/>
      <c r="R225" s="2465"/>
      <c r="T225" s="2613">
        <v>4380</v>
      </c>
      <c r="U225" s="2613"/>
      <c r="V225" s="2613"/>
      <c r="W225" s="2613"/>
      <c r="X225" s="2613"/>
      <c r="Y225" s="2613"/>
      <c r="Z225" s="851"/>
      <c r="AA225" s="851"/>
      <c r="AB225" s="2462">
        <f t="shared" si="0"/>
        <v>577332</v>
      </c>
      <c r="AC225" s="2462"/>
      <c r="AD225" s="2462"/>
      <c r="AE225" s="2462"/>
      <c r="AF225" s="2462"/>
      <c r="AG225" s="2462"/>
      <c r="AH225" s="827"/>
      <c r="AI225" s="827"/>
      <c r="AJ225" s="827"/>
      <c r="AK225" s="610"/>
    </row>
    <row r="226" spans="1:37">
      <c r="A226" s="605"/>
      <c r="B226" s="2461" t="s">
        <v>1184</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1184</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1184</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1184</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1184</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1184</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1184</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1184</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2">
        <f>SUM(AB224:AB233)</f>
        <v>1057644</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ht="13">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1057644</v>
      </c>
      <c r="AC250" s="2462"/>
      <c r="AD250" s="2462"/>
      <c r="AE250" s="2462"/>
      <c r="AF250" s="2462"/>
      <c r="AG250" s="246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1004761.8</v>
      </c>
      <c r="AC252" s="2495"/>
      <c r="AD252" s="2495"/>
      <c r="AE252" s="2495"/>
      <c r="AF252" s="2495"/>
      <c r="AG252" s="2495"/>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873705.91304347839</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9843181.6400120892</v>
      </c>
      <c r="AC260" s="2488"/>
      <c r="AD260" s="2488"/>
      <c r="AE260" s="2488"/>
      <c r="AF260" s="2488"/>
      <c r="AG260" s="2489"/>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20343181.640012089</v>
      </c>
      <c r="AH268" s="2481"/>
      <c r="AI268" s="2481"/>
      <c r="AJ268" s="2481"/>
      <c r="AK268" s="2481"/>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112039501</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0.36</v>
      </c>
      <c r="AH270" s="2482"/>
      <c r="AI270" s="2482"/>
      <c r="AJ270" s="2482"/>
      <c r="AK270" s="2482"/>
    </row>
    <row r="271" spans="1:37" ht="13">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3">
        <f>IFERROR(IF(AG270=0,0,IF((AG270*100)&gt;8,8,(AG270*100))),0)</f>
        <v>8</v>
      </c>
      <c r="AL273" s="2483"/>
      <c r="AM273" s="2484"/>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5" t="s">
        <v>545</v>
      </c>
      <c r="D278" s="2475"/>
      <c r="E278" s="547"/>
      <c r="F278" s="2632" t="s">
        <v>2025</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1363</v>
      </c>
      <c r="AH278" s="2476"/>
      <c r="AI278" s="2476"/>
      <c r="AJ278" s="2476"/>
      <c r="AK278" s="550"/>
      <c r="AL278" s="550"/>
      <c r="AM278" s="550"/>
      <c r="AO278" s="550"/>
    </row>
    <row r="279" spans="1:52" ht="13.75"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5"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3">
        <f>IF($C$278="yes",10,0)</f>
        <v>10</v>
      </c>
      <c r="AL285" s="2483"/>
      <c r="AM285" s="2484"/>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1380</v>
      </c>
      <c r="B288" s="538" t="s">
        <v>1854</v>
      </c>
      <c r="AH288" s="591" t="s">
        <v>1314</v>
      </c>
    </row>
    <row r="289" spans="1:49" ht="15" customHeight="1">
      <c r="B289" s="539"/>
    </row>
    <row r="290" spans="1:49" ht="15" customHeight="1">
      <c r="B290" s="539" t="s">
        <v>1728</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1" t="s">
        <v>545</v>
      </c>
      <c r="D292" s="2475"/>
      <c r="E292" s="547"/>
      <c r="F292" s="2503" t="s">
        <v>1383</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2018</v>
      </c>
      <c r="AH292" s="2506"/>
      <c r="AI292" s="2506"/>
      <c r="AJ292" s="2506"/>
      <c r="AK292" s="2506"/>
      <c r="AL292" s="550"/>
      <c r="AM292" s="550"/>
      <c r="AN292" s="73"/>
      <c r="AO292" s="14"/>
      <c r="AP292" s="30"/>
      <c r="AS292" s="570"/>
      <c r="AT292" s="570"/>
      <c r="AU292" s="570"/>
      <c r="AV292" s="32"/>
      <c r="AW292" s="32"/>
    </row>
    <row r="293" spans="1:49" ht="13">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7" t="s">
        <v>2026</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ht="13">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1384</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1385</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5" t="s">
        <v>591</v>
      </c>
      <c r="D302" s="247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5" t="s">
        <v>2020</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29" t="s">
        <v>1389</v>
      </c>
      <c r="B310" s="1629"/>
      <c r="C310" s="2475" t="s">
        <v>591</v>
      </c>
      <c r="D310" s="247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t="13" hidden="1">
      <c r="A311" s="89"/>
      <c r="B311" s="89"/>
      <c r="C311" s="730"/>
      <c r="D311" s="730"/>
      <c r="E311" s="547"/>
      <c r="F311" s="2497" t="s">
        <v>2027</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1184</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1730</v>
      </c>
    </row>
    <row r="313" spans="1:44" ht="13"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1184</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t="13"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t="13"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t="13"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t="13"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3" t="s">
        <v>1184</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1637</v>
      </c>
    </row>
    <row r="325" spans="1:42" ht="13"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1733</v>
      </c>
    </row>
    <row r="326" spans="1:42" ht="13"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1735</v>
      </c>
    </row>
    <row r="327" spans="1:42" ht="13"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1734</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13" t="s">
        <v>1184</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1184</v>
      </c>
    </row>
    <row r="331" spans="1:42" ht="13"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5" t="s">
        <v>591</v>
      </c>
      <c r="D333" s="2475"/>
      <c r="E333" s="547"/>
      <c r="F333" s="2399" t="s">
        <v>2028</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8">
        <f>IF(NOT(OR(Application!M355="Yes",Application!M356="Yes")),0,AP295)</f>
        <v>10</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8" t="s">
        <v>1314</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1454</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5"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2093</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2208</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1455</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2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2"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5</v>
      </c>
      <c r="AS357" s="539" t="s">
        <v>1456</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12</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7</v>
      </c>
      <c r="AS359" s="539" t="s">
        <v>1457</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0</v>
      </c>
      <c r="AS360" s="2538">
        <f>IF(AND(AQ366&gt;0,AQ375&gt;0),(AQ366+AQ375)/2,0)</f>
        <v>11</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581</v>
      </c>
      <c r="AP361" s="696">
        <f>IF(C407="Yes",5,0)</f>
        <v>0</v>
      </c>
      <c r="AS361" s="539" t="s">
        <v>1879</v>
      </c>
    </row>
    <row r="362" spans="1:46" s="550" customFormat="1" ht="12.75" customHeight="1">
      <c r="A362" s="603"/>
      <c r="B362" s="611"/>
      <c r="C362" s="2539" t="s">
        <v>2233</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0</v>
      </c>
      <c r="AS362" s="2538">
        <f>IF(AQ366=0,AQ375,AQ366)</f>
        <v>12</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763</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584</v>
      </c>
      <c r="AP364" s="696">
        <f>IF(C421="Yes",5,0)</f>
        <v>0</v>
      </c>
    </row>
    <row r="365" spans="1:46" s="550" customFormat="1" ht="12"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5"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226</v>
      </c>
      <c r="AP366" s="700">
        <f>SUM(AP357:AP365)</f>
        <v>12</v>
      </c>
      <c r="AQ366" s="2540">
        <f>IF(AP366&gt;0,AP366,0)</f>
        <v>12</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5</v>
      </c>
    </row>
    <row r="369" spans="1:81" s="550" customFormat="1" ht="12.75" customHeight="1">
      <c r="A369" s="603"/>
      <c r="B369" s="611"/>
      <c r="C369" s="2517" t="s">
        <v>1458</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456</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461</v>
      </c>
      <c r="AP370" s="696">
        <f>IF(C449="Yes",5,0)</f>
        <v>5</v>
      </c>
    </row>
    <row r="371" spans="1:81" s="550" customFormat="1" ht="68.25"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5">
        <f>Application!DU802-U374</f>
        <v>180</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44</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10</v>
      </c>
      <c r="AQ375" s="2540">
        <f>IF(AP375&gt;0,AP375,0)</f>
        <v>10</v>
      </c>
      <c r="AR375" s="25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1" t="s">
        <v>1460</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545</v>
      </c>
      <c r="D381" s="247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1462</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1" t="s">
        <v>1463</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591</v>
      </c>
      <c r="D389" s="247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1462</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1" t="s">
        <v>1465</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545</v>
      </c>
      <c r="D397" s="247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1467</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591</v>
      </c>
      <c r="D399" s="247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1462</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1" t="s">
        <v>1471</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591</v>
      </c>
      <c r="D407" s="247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1462</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591</v>
      </c>
      <c r="D409" s="247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1474</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591</v>
      </c>
      <c r="D412" s="2475"/>
      <c r="E412" s="715" t="s">
        <v>1475</v>
      </c>
      <c r="F412" s="2521" t="s">
        <v>1476</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1462</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1" t="s">
        <v>1478</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ht="13">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591</v>
      </c>
      <c r="D421" s="247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1462</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591</v>
      </c>
      <c r="D423" s="247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1474</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1" t="s">
        <v>1482</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5"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545</v>
      </c>
      <c r="D430" s="247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1462</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521" t="s">
        <v>1485</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591</v>
      </c>
      <c r="D442" s="247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1462</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1" t="s">
        <v>1488</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545</v>
      </c>
      <c r="D449" s="247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1462</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591</v>
      </c>
      <c r="D453" s="2525"/>
      <c r="E453" s="715" t="s">
        <v>1497</v>
      </c>
      <c r="F453" s="2521" t="s">
        <v>1498</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1462</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75"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591</v>
      </c>
      <c r="D457" s="2475"/>
      <c r="E457" s="715" t="s">
        <v>1503</v>
      </c>
      <c r="F457" s="2521" t="s">
        <v>1504</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1462</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1" t="s">
        <v>1507</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591</v>
      </c>
      <c r="D466" s="247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1462</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8">
        <f>IF(Application!D214="N/A",AS358,AS360)</f>
        <v>12</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9" t="s">
        <v>1511</v>
      </c>
      <c r="AF472" s="2519"/>
      <c r="AG472" s="2519"/>
      <c r="AH472" s="2519"/>
      <c r="AI472" s="2519"/>
      <c r="AJ472" s="2519"/>
      <c r="AK472" s="2519"/>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4" t="s">
        <v>591</v>
      </c>
      <c r="D478" s="2545"/>
      <c r="E478" s="761" t="s">
        <v>507</v>
      </c>
      <c r="F478" s="2546" t="s">
        <v>1517</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0" t="s">
        <v>591</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1" t="s">
        <v>545</v>
      </c>
      <c r="D482" s="2622"/>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9" t="s">
        <v>591</v>
      </c>
      <c r="W485" s="2619"/>
      <c r="X485" s="261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9" t="s">
        <v>591</v>
      </c>
      <c r="W487" s="2619"/>
      <c r="X487" s="261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9" t="s">
        <v>591</v>
      </c>
      <c r="W492" s="2619"/>
      <c r="X492" s="261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9"/>
      <c r="E495" s="2609"/>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9" t="s">
        <v>591</v>
      </c>
      <c r="W496" s="2619"/>
      <c r="X496" s="261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9" t="s">
        <v>591</v>
      </c>
      <c r="W498" s="2619"/>
      <c r="X498" s="261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591</v>
      </c>
      <c r="D501" s="2545"/>
      <c r="E501" s="761" t="s">
        <v>507</v>
      </c>
      <c r="F501" s="2546" t="s">
        <v>1517</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591</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591</v>
      </c>
      <c r="D505" s="2545"/>
      <c r="E505" s="761" t="s">
        <v>757</v>
      </c>
      <c r="F505" s="2616" t="s">
        <v>1539</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618" t="s">
        <v>591</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544" t="s">
        <v>591</v>
      </c>
      <c r="D510" s="2545"/>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608"/>
      <c r="D512" s="2609"/>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591</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591</v>
      </c>
      <c r="D515" s="2549"/>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591</v>
      </c>
      <c r="D519" s="2549"/>
      <c r="F519" s="795" t="s">
        <v>1547</v>
      </c>
      <c r="G519" s="2522" t="s">
        <v>1548</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591</v>
      </c>
      <c r="D523" s="2551"/>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591</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1560</v>
      </c>
      <c r="AF538" s="2408"/>
      <c r="AG538" s="2408"/>
      <c r="AH538" s="2408"/>
      <c r="AI538" s="2408"/>
      <c r="AJ538" s="2408"/>
      <c r="AK538" s="2408"/>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545</v>
      </c>
      <c r="D541" s="2475"/>
      <c r="E541" s="551"/>
      <c r="F541" s="2602" t="s">
        <v>1561</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591</v>
      </c>
      <c r="D544" s="247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1563</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1564</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92985440</v>
      </c>
      <c r="AQ550" s="2624"/>
      <c r="AR550" s="2624"/>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100934676</v>
      </c>
      <c r="AG551" s="2481"/>
      <c r="AH551" s="2481"/>
      <c r="AI551" s="2481"/>
      <c r="AJ551" s="2481"/>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205705126</v>
      </c>
      <c r="AG552" s="2629"/>
      <c r="AH552" s="2629"/>
      <c r="AI552" s="2629"/>
      <c r="AJ552" s="2629"/>
      <c r="AK552" s="595"/>
      <c r="AL552" s="595"/>
      <c r="AM552" s="595"/>
      <c r="AN552" s="597"/>
      <c r="AP552" s="2624">
        <f>Application!AJ1045</f>
        <v>27895632</v>
      </c>
      <c r="AQ552" s="2624"/>
      <c r="AR552" s="2624"/>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0.5</v>
      </c>
      <c r="AG553" s="2630"/>
      <c r="AH553" s="2630"/>
      <c r="AI553" s="2630"/>
      <c r="AJ553" s="2630"/>
      <c r="AK553" s="595"/>
      <c r="AL553" s="595"/>
      <c r="AM553" s="595"/>
      <c r="AN553" s="597"/>
      <c r="AP553" s="2627">
        <f>Application!AJ1049</f>
        <v>92985440</v>
      </c>
      <c r="AQ553" s="2627"/>
      <c r="AR553" s="2627"/>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0.8</v>
      </c>
      <c r="AQ554" s="2623"/>
      <c r="AR554" s="2623"/>
      <c r="AS554" s="550" t="s">
        <v>2172</v>
      </c>
    </row>
    <row r="555" spans="1:49" s="550" customFormat="1" ht="12.75" customHeight="1">
      <c r="A555" s="624"/>
      <c r="B555" s="2560" t="s">
        <v>2032</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131316774</v>
      </c>
      <c r="AQ556" s="2533"/>
      <c r="AR556" s="2533"/>
      <c r="AS556" s="550" t="s">
        <v>2174</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252197846</v>
      </c>
      <c r="AQ557" s="2624"/>
      <c r="AR557" s="2624"/>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9">
        <f>IFERROR(IF(AND(C541="N/A",C544="N/A"),0,IF(AF553=0,0,IF((AF553*100)&gt;12,12,(AF553*100)))),0)</f>
        <v>12</v>
      </c>
      <c r="AL559" s="2569"/>
      <c r="AM559" s="2570"/>
      <c r="AN559" s="597"/>
      <c r="AP559" s="2641">
        <f>AP556+(AP550*AP554)</f>
        <v>205705126</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1314</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2023</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1338</v>
      </c>
      <c r="AG578" s="2443"/>
      <c r="AH578" s="2443"/>
      <c r="AI578" s="2443"/>
      <c r="AJ578" s="2443"/>
      <c r="AK578" s="2443"/>
      <c r="AL578" s="2443"/>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1396</v>
      </c>
      <c r="AG585" s="2443"/>
      <c r="AH585" s="2443"/>
      <c r="AI585" s="2443"/>
      <c r="AJ585" s="2443"/>
      <c r="AK585" s="2443"/>
      <c r="AL585" s="2443"/>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1378</v>
      </c>
      <c r="AG591" s="2443"/>
      <c r="AH591" s="2443"/>
      <c r="AI591" s="2443"/>
      <c r="AJ591" s="2443"/>
      <c r="AK591" s="2443"/>
      <c r="AL591" s="2443"/>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1399</v>
      </c>
      <c r="AG597" s="2443"/>
      <c r="AH597" s="2443"/>
      <c r="AI597" s="2443"/>
      <c r="AJ597" s="2443"/>
      <c r="AK597" s="2443"/>
      <c r="AL597" s="2443"/>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9" t="s">
        <v>1184</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1352</v>
      </c>
      <c r="AG603" s="2443"/>
      <c r="AH603" s="2443"/>
      <c r="AI603" s="2443"/>
      <c r="AJ603" s="2443"/>
      <c r="AK603" s="2443"/>
      <c r="AL603" s="2443"/>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7" t="s">
        <v>687</v>
      </c>
      <c r="I606" s="2527"/>
      <c r="J606" s="936"/>
      <c r="K606" s="936"/>
      <c r="L606" s="936"/>
      <c r="N606" s="22"/>
      <c r="O606" s="22"/>
      <c r="P606" s="22"/>
      <c r="Q606" s="1151" t="s">
        <v>2177</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8" t="s">
        <v>591</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1" t="s">
        <v>591</v>
      </c>
      <c r="C616" s="2471"/>
      <c r="D616" s="642"/>
      <c r="E616" s="2498" t="s">
        <v>1403</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6" t="s">
        <v>1694</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1352</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1" t="s">
        <v>591</v>
      </c>
      <c r="Y634" s="247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1408</v>
      </c>
      <c r="AG636" s="2443"/>
      <c r="AH636" s="2443"/>
      <c r="AI636" s="2443"/>
      <c r="AJ636" s="2443"/>
      <c r="AK636" s="2443"/>
      <c r="AL636" s="2443"/>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7" t="s">
        <v>687</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8">
        <f>VLOOKUP($H$638,$AO$605:$AP$607,2,FALSE)</f>
        <v>3</v>
      </c>
      <c r="AK640" s="248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8" t="s">
        <v>2098</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1352</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1408</v>
      </c>
      <c r="AG647" s="2443"/>
      <c r="AH647" s="2443"/>
      <c r="AI647" s="2443"/>
      <c r="AJ647" s="2443"/>
      <c r="AK647" s="2443"/>
      <c r="AL647" s="2443"/>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7" t="s">
        <v>687</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8">
        <f>VLOOKUP(H650,AT605:AU607,2,FALSE)</f>
        <v>3</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8" t="s">
        <v>1418</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1378</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8" t="s">
        <v>1419</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1399</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8" t="s">
        <v>1420</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1352</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591</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8" t="s">
        <v>1421</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1399</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8" t="s">
        <v>1422</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1352</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8" t="s">
        <v>1423</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1408</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8" t="s">
        <v>1424</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1425</v>
      </c>
      <c r="AG681" s="2443"/>
      <c r="AH681" s="2443"/>
      <c r="AI681" s="2443"/>
      <c r="AJ681" s="2443"/>
      <c r="AK681" s="2443"/>
      <c r="AL681" s="2443"/>
      <c r="AM681" s="596"/>
      <c r="AN681" s="597"/>
      <c r="AO681" s="611" t="s">
        <v>687</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7" t="s">
        <v>687</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32</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128</v>
      </c>
    </row>
    <row r="691" spans="1:51" s="550" customFormat="1" ht="12.75" customHeight="1">
      <c r="A691" s="679"/>
      <c r="B691" s="536"/>
      <c r="C691" s="948"/>
      <c r="D691" s="663" t="s">
        <v>687</v>
      </c>
      <c r="E691" s="2534" t="s">
        <v>2190</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1352</v>
      </c>
      <c r="AG691" s="2443"/>
      <c r="AH691" s="2443"/>
      <c r="AI691" s="2443"/>
      <c r="AJ691" s="2443"/>
      <c r="AK691" s="2443"/>
      <c r="AL691" s="2443"/>
      <c r="AN691" s="597"/>
      <c r="AW691" s="22" t="s">
        <v>2185</v>
      </c>
      <c r="AX691" s="550">
        <f>Application!DE753</f>
        <v>32</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8" t="s">
        <v>2134</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1352</v>
      </c>
      <c r="AG694" s="2443"/>
      <c r="AH694" s="2443"/>
      <c r="AI694" s="2443"/>
      <c r="AJ694" s="2443"/>
      <c r="AK694" s="2443"/>
      <c r="AL694" s="2443"/>
      <c r="AN694" s="597"/>
      <c r="AW694" s="22" t="s">
        <v>2188</v>
      </c>
      <c r="AX694" s="550">
        <f>AX691+AX692+AX693</f>
        <v>32</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2189</v>
      </c>
      <c r="AX695" s="550">
        <f>IFERROR(AX694/AX690,0)</f>
        <v>0.25</v>
      </c>
      <c r="AY695" s="550">
        <f>IFERROR(AX694/(AX690-AX689),0)</f>
        <v>0.33333333333333331</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8" t="s">
        <v>2135</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1408</v>
      </c>
      <c r="AG699" s="2443"/>
      <c r="AH699" s="2443"/>
      <c r="AI699" s="2443"/>
      <c r="AJ699" s="2443"/>
      <c r="AK699" s="2443"/>
      <c r="AL699" s="2443"/>
      <c r="AN699" s="597"/>
      <c r="AO699" s="611" t="s">
        <v>509</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3"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8" t="s">
        <v>1693</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7" t="s">
        <v>277</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8">
        <f>VLOOKUP($H$709,$AO$703:$AP$706,2,FALSE)</f>
        <v>2</v>
      </c>
      <c r="AK711" s="248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5" t="s">
        <v>1695</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1352</v>
      </c>
      <c r="AG715" s="2443"/>
      <c r="AH715" s="2443"/>
      <c r="AI715" s="2443"/>
      <c r="AJ715" s="2443"/>
      <c r="AK715" s="2443"/>
      <c r="AL715" s="2443"/>
      <c r="AM715" s="550"/>
      <c r="AN715" s="684"/>
      <c r="AP715" s="570" t="s">
        <v>1432</v>
      </c>
    </row>
    <row r="716" spans="1:43" s="570" customFormat="1" ht="12"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6" t="s">
        <v>1435</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1408</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527" t="s">
        <v>591</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687</v>
      </c>
      <c r="E729" s="2498" t="s">
        <v>1696</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1352</v>
      </c>
      <c r="AG729" s="2443"/>
      <c r="AH729" s="2443"/>
      <c r="AI729" s="2443"/>
      <c r="AJ729" s="2443"/>
      <c r="AK729" s="2443"/>
      <c r="AL729" s="2443"/>
      <c r="AM729" s="550"/>
      <c r="AN729" s="684"/>
      <c r="AT729" s="14"/>
      <c r="AU729" s="14"/>
      <c r="AV729" s="14"/>
      <c r="AW729" s="14"/>
      <c r="AX729" s="14"/>
      <c r="AY729" s="14"/>
      <c r="AZ729" s="14"/>
    </row>
    <row r="730" spans="1:81" s="570" customFormat="1" ht="13">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8" t="s">
        <v>1439</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1408</v>
      </c>
      <c r="AG732" s="2443"/>
      <c r="AH732" s="2443"/>
      <c r="AI732" s="2443"/>
      <c r="AJ732" s="2443"/>
      <c r="AK732" s="2443"/>
      <c r="AL732" s="2443"/>
      <c r="AM732" s="550"/>
      <c r="AN732" s="684"/>
      <c r="AT732" s="14"/>
      <c r="AU732" s="14"/>
      <c r="AV732" s="14"/>
      <c r="AW732" s="14"/>
      <c r="AX732" s="14"/>
      <c r="AY732" s="14"/>
      <c r="AZ732" s="14"/>
    </row>
    <row r="733" spans="1:81" s="570" customFormat="1" ht="13">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7" t="s">
        <v>591</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687</v>
      </c>
      <c r="E741" s="2498" t="s">
        <v>1442</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1352</v>
      </c>
      <c r="AG741" s="2443"/>
      <c r="AH741" s="2443"/>
      <c r="AI741" s="2443"/>
      <c r="AJ741" s="2443"/>
      <c r="AK741" s="2443"/>
      <c r="AL741" s="2443"/>
      <c r="AM741" s="550"/>
      <c r="AN741" s="684"/>
      <c r="AT741" s="14"/>
      <c r="AU741" s="14"/>
      <c r="AV741" s="14"/>
      <c r="AW741" s="14"/>
      <c r="AX741" s="14"/>
      <c r="AY741" s="14"/>
      <c r="AZ741" s="14"/>
    </row>
    <row r="742" spans="1:81" s="570" customFormat="1" ht="13">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98" t="s">
        <v>1443</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1408</v>
      </c>
      <c r="AG746" s="2443"/>
      <c r="AH746" s="2443"/>
      <c r="AI746" s="2443"/>
      <c r="AJ746" s="2443"/>
      <c r="AK746" s="2443"/>
      <c r="AL746" s="2443"/>
      <c r="AM746" s="550"/>
      <c r="AN746" s="684"/>
      <c r="AO746" s="30"/>
      <c r="AP746" s="14"/>
    </row>
    <row r="747" spans="1:81" s="570" customFormat="1" ht="13">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7" t="s">
        <v>687</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687</v>
      </c>
      <c r="E757" s="2498" t="s">
        <v>1445</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1408</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98" t="s">
        <v>1446</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1425</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7" t="s">
        <v>509</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8">
        <f>VLOOKUP($H$763,$AO$697:$AP$699,2,FALSE)</f>
        <v>1</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98" t="s">
        <v>1692</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1408</v>
      </c>
      <c r="AG769" s="2443"/>
      <c r="AH769" s="2443"/>
      <c r="AI769" s="2443"/>
      <c r="AJ769" s="2443"/>
      <c r="AK769" s="2443"/>
      <c r="AL769" s="2443"/>
      <c r="AM769" s="613"/>
      <c r="AN769" s="684"/>
      <c r="AO769" s="550" t="s">
        <v>591</v>
      </c>
      <c r="AP769" s="673">
        <v>0</v>
      </c>
    </row>
    <row r="770" spans="1:81" s="570" customFormat="1" ht="13.75"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687</v>
      </c>
      <c r="AP770" s="550">
        <v>2</v>
      </c>
    </row>
    <row r="771" spans="1:81" s="570" customFormat="1" ht="13">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75"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7" t="s">
        <v>1697</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1352</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7" t="s">
        <v>591</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8">
        <f>VLOOKUP($H$779,$AO$769:$AP$771,2,FALSE)</f>
        <v>0</v>
      </c>
      <c r="AK781" s="2480"/>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98" t="s">
        <v>2033</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1352</v>
      </c>
      <c r="AG785" s="2443"/>
      <c r="AH785" s="2443"/>
      <c r="AI785" s="2443"/>
      <c r="AJ785" s="2443"/>
      <c r="AK785" s="2443"/>
      <c r="AL785" s="2443"/>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1400</v>
      </c>
      <c r="E790" s="936"/>
      <c r="F790" s="936"/>
      <c r="G790" s="936"/>
      <c r="H790" s="2527" t="s">
        <v>545</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8">
        <f>VLOOKUP($H$790,$AO$784:$AP$785,2,FALSE)</f>
        <v>3</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1568</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ht="13">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74" t="s">
        <v>1569</v>
      </c>
      <c r="U802" s="2575"/>
      <c r="V802" s="2575"/>
      <c r="W802" s="2575"/>
      <c r="X802" s="2575"/>
      <c r="Y802" s="2576"/>
      <c r="Z802" s="2574" t="s">
        <v>1570</v>
      </c>
      <c r="AA802" s="2575"/>
      <c r="AB802" s="2575"/>
      <c r="AC802" s="2575"/>
      <c r="AD802" s="2575"/>
      <c r="AE802" s="2576"/>
      <c r="AF802" s="2574" t="s">
        <v>1571</v>
      </c>
      <c r="AG802" s="2575"/>
      <c r="AH802" s="2575"/>
      <c r="AI802" s="2575"/>
      <c r="AJ802" s="2575"/>
      <c r="AK802" s="2576"/>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ht="13">
      <c r="A804" s="819" t="s">
        <v>757</v>
      </c>
      <c r="B804" s="2554" t="s">
        <v>1304</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ht="13">
      <c r="A805" s="819" t="s">
        <v>1541</v>
      </c>
      <c r="B805" s="2554" t="s">
        <v>1313</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ht="13">
      <c r="A806" s="819" t="s">
        <v>1550</v>
      </c>
      <c r="B806" s="2554" t="s">
        <v>1323</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ht="13">
      <c r="A807" s="819" t="s">
        <v>1572</v>
      </c>
      <c r="B807" s="2554" t="s">
        <v>1333</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ht="13">
      <c r="A808" s="820" t="s">
        <v>1573</v>
      </c>
      <c r="B808" s="2554" t="s">
        <v>1574</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ht="13">
      <c r="A809" s="535"/>
      <c r="B809" s="601"/>
      <c r="C809" s="2581" t="s">
        <v>1575</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ht="13">
      <c r="A810" s="600"/>
      <c r="B810" s="601"/>
      <c r="C810" s="2581" t="s">
        <v>1576</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ht="13">
      <c r="A811" s="820" t="s">
        <v>1361</v>
      </c>
      <c r="B811" s="2554" t="s">
        <v>1577</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ht="13">
      <c r="A812" s="819" t="s">
        <v>1370</v>
      </c>
      <c r="B812" s="2554" t="s">
        <v>1371</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t="13" hidden="1">
      <c r="A813" s="820" t="s">
        <v>589</v>
      </c>
      <c r="B813" s="2554" t="s">
        <v>1578</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1376</v>
      </c>
      <c r="B814" s="2554" t="s">
        <v>1579</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1380</v>
      </c>
      <c r="B815" s="2554" t="s">
        <v>1381</v>
      </c>
      <c r="C815" s="2554"/>
      <c r="D815" s="2554"/>
      <c r="E815" s="2554"/>
      <c r="F815" s="2554"/>
      <c r="G815" s="2554"/>
      <c r="H815" s="2554"/>
      <c r="I815" s="2554"/>
      <c r="J815" s="2554"/>
      <c r="K815" s="2554"/>
      <c r="L815" s="2554"/>
      <c r="M815" s="2554"/>
      <c r="N815" s="2554"/>
      <c r="O815" s="2554"/>
      <c r="P815" s="2554"/>
      <c r="Q815" s="2554"/>
      <c r="R815" s="2554"/>
      <c r="S815" s="2555"/>
      <c r="T815" s="2580">
        <f>AK338</f>
        <v>10</v>
      </c>
      <c r="U815" s="2580"/>
      <c r="V815" s="2580"/>
      <c r="W815" s="2580"/>
      <c r="X815" s="2580"/>
      <c r="Y815" s="2580"/>
      <c r="Z815" s="2586">
        <v>10</v>
      </c>
      <c r="AA815" s="2587"/>
      <c r="AB815" s="2587"/>
      <c r="AC815" s="2587"/>
      <c r="AD815" s="2587"/>
      <c r="AE815" s="2588"/>
      <c r="AF815" s="2586">
        <f>IF(T815&gt;Z815,Z815,T815)</f>
        <v>10</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3">
        <f>AK338</f>
        <v>10</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1453</v>
      </c>
      <c r="B817" s="2554" t="s">
        <v>845</v>
      </c>
      <c r="C817" s="2554"/>
      <c r="D817" s="2554"/>
      <c r="E817" s="2554"/>
      <c r="F817" s="2554"/>
      <c r="G817" s="2554"/>
      <c r="H817" s="2554"/>
      <c r="I817" s="2554"/>
      <c r="J817" s="2554"/>
      <c r="K817" s="2554"/>
      <c r="L817" s="2554"/>
      <c r="M817" s="2554"/>
      <c r="N817" s="2554"/>
      <c r="O817" s="2554"/>
      <c r="P817" s="2554"/>
      <c r="Q817" s="2554"/>
      <c r="R817" s="2554"/>
      <c r="S817" s="2555"/>
      <c r="T817" s="2580">
        <f>AK469</f>
        <v>12</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1558</v>
      </c>
      <c r="B818" s="2554" t="s">
        <v>1559</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2021</v>
      </c>
      <c r="B819" s="2554" t="s">
        <v>1581</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84" t="s">
        <v>1582</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1583</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89" t="s">
        <v>1584</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120</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D748D1EB6ADF46AEE2DA92E610B2E9" ma:contentTypeVersion="18" ma:contentTypeDescription="Create a new document." ma:contentTypeScope="" ma:versionID="fca08efe988d8aea31a8bba5c1bec0ff">
  <xsd:schema xmlns:xsd="http://www.w3.org/2001/XMLSchema" xmlns:xs="http://www.w3.org/2001/XMLSchema" xmlns:p="http://schemas.microsoft.com/office/2006/metadata/properties" xmlns:ns2="864acb3c-6b0c-48d4-96e5-ccf42458f348" xmlns:ns3="9039fc41-7799-4ae5-8d13-7cb904788af9" targetNamespace="http://schemas.microsoft.com/office/2006/metadata/properties" ma:root="true" ma:fieldsID="74fefdcd54a1c18f639805086bca5212" ns2:_="" ns3:_="">
    <xsd:import namespace="864acb3c-6b0c-48d4-96e5-ccf42458f348"/>
    <xsd:import namespace="9039fc41-7799-4ae5-8d13-7cb904788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cb3c-6b0c-48d4-96e5-ccf42458f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7830b-9a9a-4b34-bf3f-b54a005071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9fc41-7799-4ae5-8d13-7cb904788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064bd4-2e75-4819-a7a2-cae421b81029}" ma:internalName="TaxCatchAll" ma:showField="CatchAllData" ma:web="9039fc41-7799-4ae5-8d13-7cb904788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039fc41-7799-4ae5-8d13-7cb904788af9" xsi:nil="true"/>
    <lcf76f155ced4ddcb4097134ff3c332f xmlns="864acb3c-6b0c-48d4-96e5-ccf42458f3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F3FD4E-45FE-48D9-AD58-9210D5598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acb3c-6b0c-48d4-96e5-ccf42458f348"/>
    <ds:schemaRef ds:uri="9039fc41-7799-4ae5-8d13-7cb904788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824717-5E13-4F4C-8248-3D614766D41B}">
  <ds:schemaRefs>
    <ds:schemaRef ds:uri="http://schemas.microsoft.com/sharepoint/v3/contenttype/forms"/>
  </ds:schemaRefs>
</ds:datastoreItem>
</file>

<file path=customXml/itemProps3.xml><?xml version="1.0" encoding="utf-8"?>
<ds:datastoreItem xmlns:ds="http://schemas.openxmlformats.org/officeDocument/2006/customXml" ds:itemID="{1F165FCF-60E0-4B80-8702-4AC1189995FB}">
  <ds:schemaRefs>
    <ds:schemaRef ds:uri="http://schemas.microsoft.com/office/2006/metadata/properties"/>
    <ds:schemaRef ds:uri="http://schemas.microsoft.com/office/infopath/2007/PartnerControls"/>
    <ds:schemaRef ds:uri="9039fc41-7799-4ae5-8d13-7cb904788af9"/>
    <ds:schemaRef ds:uri="864acb3c-6b0c-48d4-96e5-ccf42458f348"/>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Christian Poncetta</cp:lastModifiedBy>
  <cp:lastPrinted>2025-05-19T20:22:33Z</cp:lastPrinted>
  <dcterms:created xsi:type="dcterms:W3CDTF">2007-12-27T18:26:28Z</dcterms:created>
  <dcterms:modified xsi:type="dcterms:W3CDTF">2025-05-20T16:12:56Z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0x010100BDD748D1EB6ADF46AEE2DA92E610B2E9</vt:lpwstr>
  </property>
  <property fmtid="{D5CDD505-2E9C-101B-9397-08002B2CF9AE}" pid="3" name="MediaServiceImageTags">
    <vt:lpwstr/>
  </property>
</Properties>
</file>