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Acquisitions\200 - NEW DEALS\CA\_San Diego\_San Diego\9999 Mira Mesa\400 Financing\CDLAC\Draft\Tab 40 - Application\"/>
    </mc:Choice>
  </mc:AlternateContent>
  <xr:revisionPtr revIDLastSave="0" documentId="13_ncr:1_{75727045-D34E-4F5F-A7FF-11DF884DEA08}" xr6:coauthVersionLast="47" xr6:coauthVersionMax="47" xr10:uidLastSave="{00000000-0000-0000-0000-000000000000}"/>
  <bookViews>
    <workbookView xWindow="-110" yWindow="-110" windowWidth="25180" windowHeight="16260" firstSheet="1"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4" l="1"/>
  <c r="C85" i="4"/>
  <c r="AF1027" i="3" s="1"/>
  <c r="AG442" i="3"/>
  <c r="AG443" i="3" s="1"/>
  <c r="AG448" i="3" s="1"/>
  <c r="Q627" i="3"/>
  <c r="W846" i="3"/>
  <c r="E88" i="4"/>
  <c r="F30" i="4"/>
  <c r="E50" i="4"/>
  <c r="E53" i="4"/>
  <c r="E89" i="4"/>
  <c r="E66" i="4"/>
  <c r="E91" i="4"/>
  <c r="E92" i="4"/>
  <c r="E90" i="4"/>
  <c r="E84" i="4"/>
  <c r="E65" i="4"/>
  <c r="E58" i="4"/>
  <c r="E40" i="4"/>
  <c r="E29" i="4"/>
  <c r="E4" i="4"/>
  <c r="G30" i="4"/>
  <c r="H30" i="4"/>
  <c r="J99" i="4"/>
  <c r="K30" i="4"/>
  <c r="I45" i="4"/>
  <c r="E103" i="4"/>
  <c r="E102" i="4"/>
  <c r="E101" i="4"/>
  <c r="E100" i="4"/>
  <c r="E95" i="4"/>
  <c r="E94" i="4"/>
  <c r="E93" i="4"/>
  <c r="E87" i="4"/>
  <c r="E76" i="4"/>
  <c r="E74" i="4"/>
  <c r="E73" i="4"/>
  <c r="E72" i="4"/>
  <c r="E68" i="4"/>
  <c r="E67" i="4"/>
  <c r="E61" i="4"/>
  <c r="E60" i="4"/>
  <c r="E59" i="4"/>
  <c r="E57" i="4"/>
  <c r="E51" i="4"/>
  <c r="E48" i="4"/>
  <c r="E47" i="4"/>
  <c r="E41" i="4"/>
  <c r="E37" i="4"/>
  <c r="E36" i="4"/>
  <c r="E35" i="4"/>
  <c r="E34" i="4"/>
  <c r="E27" i="4"/>
  <c r="E25" i="4"/>
  <c r="E24" i="4"/>
  <c r="E23" i="4"/>
  <c r="E22" i="4"/>
  <c r="E21" i="4"/>
  <c r="E20" i="4"/>
  <c r="E19" i="4"/>
  <c r="E18" i="4"/>
  <c r="E17" i="4"/>
  <c r="E15" i="4"/>
  <c r="E14" i="4"/>
  <c r="E13" i="4"/>
  <c r="E10" i="4"/>
  <c r="E9" i="4"/>
  <c r="E7" i="4"/>
  <c r="E6" i="4"/>
  <c r="E5" i="4"/>
  <c r="AA949" i="3"/>
  <c r="AA919" i="3"/>
  <c r="AA918" i="3"/>
  <c r="W853" i="3"/>
  <c r="W854" i="3"/>
  <c r="W865" i="3"/>
  <c r="T627" i="3"/>
  <c r="Q630" i="3"/>
  <c r="Q629" i="3"/>
  <c r="Q628" i="3"/>
  <c r="AM560" i="3"/>
  <c r="Q558" i="3"/>
  <c r="Q557" i="3"/>
  <c r="W473" i="3"/>
  <c r="E85" i="4" l="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S45" i="21"/>
  <c r="O51" i="21"/>
  <c r="U51" i="21"/>
  <c r="R51" i="21" a="1"/>
  <c r="R51" i="21" s="1"/>
  <c r="U49" i="21"/>
  <c r="R49" i="21" a="1"/>
  <c r="R49" i="21" s="1"/>
  <c r="O49" i="21"/>
  <c r="S47" i="21"/>
  <c r="P48" i="21" a="1"/>
  <c r="P48" i="21" s="1"/>
  <c r="U46" i="21"/>
  <c r="S52" i="21"/>
  <c r="U53" i="21"/>
  <c r="P50" i="21" a="1"/>
  <c r="P50" i="21" s="1"/>
  <c r="T53" i="21"/>
  <c r="R53" i="21" a="1"/>
  <c r="R53" i="21" s="1"/>
  <c r="S48" i="21"/>
  <c r="P52" i="21" a="1"/>
  <c r="P52" i="21" s="1"/>
  <c r="P51" i="21" a="1"/>
  <c r="P51" i="21" s="1"/>
  <c r="O50" i="21"/>
  <c r="P49" i="21" a="1"/>
  <c r="P49" i="21" s="1"/>
  <c r="R48" i="21" a="1"/>
  <c r="R48" i="21" s="1"/>
  <c r="R47" i="21" a="1"/>
  <c r="R47" i="21" s="1"/>
  <c r="T45"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R66" i="4"/>
  <c r="S66" i="4" s="1"/>
  <c r="E66" i="13" s="1"/>
  <c r="R67" i="4"/>
  <c r="R68" i="4"/>
  <c r="A104" i="11"/>
  <c r="C101" i="11"/>
  <c r="C102" i="11"/>
  <c r="C103" i="11"/>
  <c r="C104" i="11"/>
  <c r="B101" i="11"/>
  <c r="B102" i="11"/>
  <c r="B103" i="11"/>
  <c r="B104" i="11"/>
  <c r="C85" i="11"/>
  <c r="C86" i="11"/>
  <c r="C88" i="11"/>
  <c r="C89" i="11"/>
  <c r="C90" i="11"/>
  <c r="C91" i="11"/>
  <c r="C92" i="11"/>
  <c r="C93" i="11"/>
  <c r="C94" i="11"/>
  <c r="C95" i="11"/>
  <c r="C96" i="11"/>
  <c r="B85" i="11"/>
  <c r="B86" i="11"/>
  <c r="B88" i="11"/>
  <c r="B89" i="11"/>
  <c r="B90" i="11"/>
  <c r="B91" i="11"/>
  <c r="B92" i="11"/>
  <c r="B93" i="11"/>
  <c r="B94" i="11"/>
  <c r="B95" i="11"/>
  <c r="B96" i="11"/>
  <c r="A70" i="11"/>
  <c r="C67" i="11"/>
  <c r="C68" i="11"/>
  <c r="C69" i="11"/>
  <c r="B67" i="11"/>
  <c r="B68" i="11"/>
  <c r="B69" i="11"/>
  <c r="A62" i="11"/>
  <c r="A54" i="11"/>
  <c r="A38" i="11"/>
  <c r="A26" i="11"/>
  <c r="C35" i="11"/>
  <c r="C36" i="11"/>
  <c r="C37" i="11"/>
  <c r="C38" i="11"/>
  <c r="B35" i="11"/>
  <c r="B36" i="11"/>
  <c r="B37" i="11"/>
  <c r="B38" i="11"/>
  <c r="C24" i="11"/>
  <c r="C25" i="11"/>
  <c r="C26" i="11"/>
  <c r="B25" i="11"/>
  <c r="B26" i="11"/>
  <c r="D70" i="4"/>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7" i="13"/>
  <c r="E68" i="13"/>
  <c r="B66" i="13"/>
  <c r="B67" i="13"/>
  <c r="B68"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S84" i="4" s="1"/>
  <c r="E84" i="13" s="1"/>
  <c r="B59" i="4"/>
  <c r="I96" i="13"/>
  <c r="J96" i="13"/>
  <c r="J81" i="13"/>
  <c r="I81" i="13"/>
  <c r="G81" i="13"/>
  <c r="F81" i="13"/>
  <c r="D81" i="13"/>
  <c r="C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65" i="13"/>
  <c r="E53" i="13"/>
  <c r="E51" i="13"/>
  <c r="E50" i="13"/>
  <c r="E49" i="13"/>
  <c r="E48" i="13"/>
  <c r="E47" i="13"/>
  <c r="E41" i="13"/>
  <c r="E37" i="13"/>
  <c r="E35" i="13"/>
  <c r="E34" i="13"/>
  <c r="E27" i="13"/>
  <c r="E25" i="13"/>
  <c r="E23" i="13"/>
  <c r="E22" i="13"/>
  <c r="E21" i="13"/>
  <c r="E20" i="13"/>
  <c r="E19" i="13"/>
  <c r="E18" i="13"/>
  <c r="E17" i="13"/>
  <c r="E15" i="13"/>
  <c r="E14" i="13"/>
  <c r="E13" i="13"/>
  <c r="E10" i="13"/>
  <c r="B95" i="13"/>
  <c r="B94" i="13"/>
  <c r="B93" i="13"/>
  <c r="B92" i="13"/>
  <c r="B91" i="13"/>
  <c r="B90" i="13"/>
  <c r="B89" i="13"/>
  <c r="B88" i="13"/>
  <c r="B87" i="13"/>
  <c r="B85" i="13"/>
  <c r="B84" i="13"/>
  <c r="B76" i="13"/>
  <c r="B74" i="13"/>
  <c r="B73" i="13"/>
  <c r="B72" i="13"/>
  <c r="B65" i="13"/>
  <c r="B61" i="13"/>
  <c r="B60" i="13"/>
  <c r="B59" i="13"/>
  <c r="B58" i="13"/>
  <c r="B57" i="13"/>
  <c r="B53" i="13"/>
  <c r="B51" i="13"/>
  <c r="B50" i="13"/>
  <c r="B48" i="13"/>
  <c r="B47" i="13"/>
  <c r="C42" i="4"/>
  <c r="B42" i="13" s="1"/>
  <c r="B41" i="13"/>
  <c r="B40" i="13"/>
  <c r="B37" i="13"/>
  <c r="B35" i="13"/>
  <c r="B34"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S92" i="4" s="1"/>
  <c r="E92" i="13" s="1"/>
  <c r="R90" i="4"/>
  <c r="S90" i="4" s="1"/>
  <c r="E90" i="13" s="1"/>
  <c r="R89" i="4"/>
  <c r="S89" i="4" s="1"/>
  <c r="E89" i="13" s="1"/>
  <c r="R88" i="4"/>
  <c r="R87" i="4"/>
  <c r="R85" i="4"/>
  <c r="S85" i="4" s="1"/>
  <c r="E85" i="13" s="1"/>
  <c r="R76" i="4"/>
  <c r="R72" i="4"/>
  <c r="R73" i="4"/>
  <c r="R74" i="4"/>
  <c r="R65" i="4"/>
  <c r="R61" i="4"/>
  <c r="R60" i="4"/>
  <c r="R59" i="4"/>
  <c r="R58" i="4"/>
  <c r="R57" i="4"/>
  <c r="R53" i="4"/>
  <c r="R51" i="4"/>
  <c r="R50" i="4"/>
  <c r="R48" i="4"/>
  <c r="R47" i="4"/>
  <c r="R41" i="4"/>
  <c r="R40" i="4"/>
  <c r="S40" i="4" s="1"/>
  <c r="E40" i="13" s="1"/>
  <c r="R37" i="4"/>
  <c r="R35" i="4"/>
  <c r="R34" i="4"/>
  <c r="R29" i="4"/>
  <c r="S29" i="4"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8" i="11"/>
  <c r="B49" i="11"/>
  <c r="B51" i="11"/>
  <c r="B52" i="11"/>
  <c r="C48" i="11"/>
  <c r="C49" i="11"/>
  <c r="C51" i="11"/>
  <c r="C52" i="11"/>
  <c r="B58" i="11"/>
  <c r="C58" i="11"/>
  <c r="B59" i="11"/>
  <c r="C59" i="11"/>
  <c r="B60" i="11"/>
  <c r="C60" i="11"/>
  <c r="B61" i="11"/>
  <c r="C61" i="11"/>
  <c r="B62" i="11"/>
  <c r="C62" i="11"/>
  <c r="B66" i="11"/>
  <c r="C66" i="11"/>
  <c r="B73" i="11"/>
  <c r="C73" i="11"/>
  <c r="B74" i="11"/>
  <c r="C74" i="11"/>
  <c r="B75" i="11"/>
  <c r="C75" i="11"/>
  <c r="B77" i="11"/>
  <c r="C77"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D8" i="4"/>
  <c r="D11" i="4"/>
  <c r="D26" i="4"/>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4" i="4"/>
  <c r="B35" i="4"/>
  <c r="B37" i="4"/>
  <c r="G38" i="4"/>
  <c r="H38" i="4"/>
  <c r="K38" i="4"/>
  <c r="L38" i="4"/>
  <c r="O38" i="4"/>
  <c r="P38" i="4"/>
  <c r="P42" i="4"/>
  <c r="P54" i="4"/>
  <c r="P62" i="4"/>
  <c r="P70" i="4"/>
  <c r="P77" i="4"/>
  <c r="P96" i="4"/>
  <c r="P104" i="4"/>
  <c r="Q38" i="4"/>
  <c r="B40" i="4"/>
  <c r="B41" i="4"/>
  <c r="E42" i="4"/>
  <c r="G42" i="4"/>
  <c r="H42" i="4"/>
  <c r="K42" i="4"/>
  <c r="L42" i="4"/>
  <c r="O42" i="4"/>
  <c r="Q42" i="4"/>
  <c r="B47" i="4"/>
  <c r="B48" i="4"/>
  <c r="B50" i="4"/>
  <c r="B51" i="4"/>
  <c r="B53" i="4"/>
  <c r="G54" i="4"/>
  <c r="H54" i="4"/>
  <c r="K54" i="4"/>
  <c r="L54" i="4"/>
  <c r="O54" i="4"/>
  <c r="Q54" i="4"/>
  <c r="B57" i="4"/>
  <c r="B58" i="4"/>
  <c r="B60" i="4"/>
  <c r="B61" i="4"/>
  <c r="G62" i="4"/>
  <c r="H62" i="4"/>
  <c r="K62" i="4"/>
  <c r="L62" i="4"/>
  <c r="O62" i="4"/>
  <c r="O70" i="4"/>
  <c r="O77" i="4"/>
  <c r="O96" i="4"/>
  <c r="O104" i="4"/>
  <c r="Q62" i="4"/>
  <c r="B65" i="4"/>
  <c r="F70" i="4"/>
  <c r="G70" i="4"/>
  <c r="H70" i="4"/>
  <c r="I70" i="4"/>
  <c r="K70" i="4"/>
  <c r="L70" i="4"/>
  <c r="Q70" i="4"/>
  <c r="B72" i="4"/>
  <c r="B73" i="4"/>
  <c r="B74" i="4"/>
  <c r="B76" i="4"/>
  <c r="F77" i="4"/>
  <c r="G77" i="4"/>
  <c r="H77" i="4"/>
  <c r="I77" i="4"/>
  <c r="K77" i="4"/>
  <c r="L77" i="4"/>
  <c r="Q77" i="4"/>
  <c r="B84" i="4"/>
  <c r="B85" i="4"/>
  <c r="B87" i="4"/>
  <c r="B88" i="4"/>
  <c r="B89" i="4"/>
  <c r="B90" i="4"/>
  <c r="B91" i="4"/>
  <c r="B92" i="4"/>
  <c r="B93" i="4"/>
  <c r="B94" i="4"/>
  <c r="B95" i="4"/>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B26" i="4" l="1"/>
  <c r="D35" i="11"/>
  <c r="S42" i="4"/>
  <c r="E42" i="13" s="1"/>
  <c r="E29" i="13"/>
  <c r="D36" i="11"/>
  <c r="D94" i="11"/>
  <c r="D86" i="11"/>
  <c r="D103" i="11"/>
  <c r="D6" i="11"/>
  <c r="D25" i="11"/>
  <c r="D91" i="11"/>
  <c r="D54" i="11"/>
  <c r="D90" i="11"/>
  <c r="D93" i="11"/>
  <c r="D85" i="11"/>
  <c r="D89" i="11"/>
  <c r="D101" i="11"/>
  <c r="D92" i="11"/>
  <c r="D96" i="11"/>
  <c r="D88" i="11"/>
  <c r="D104" i="11"/>
  <c r="B8" i="4"/>
  <c r="N189" i="23" s="1"/>
  <c r="G144" i="21"/>
  <c r="G143" i="21"/>
  <c r="D95" i="11"/>
  <c r="C12" i="4"/>
  <c r="B12" i="13" s="1"/>
  <c r="D75" i="11"/>
  <c r="D62" i="11"/>
  <c r="D58" i="11"/>
  <c r="L12" i="4"/>
  <c r="D38" i="11"/>
  <c r="B42" i="4"/>
  <c r="H12" i="4"/>
  <c r="D51" i="11"/>
  <c r="D49" i="11"/>
  <c r="D48" i="11"/>
  <c r="D20" i="11"/>
  <c r="D15" i="11"/>
  <c r="D8" i="11"/>
  <c r="D41" i="11"/>
  <c r="D12" i="13"/>
  <c r="D74" i="11"/>
  <c r="C12" i="13"/>
  <c r="D77" i="11"/>
  <c r="D73" i="11"/>
  <c r="D21" i="11"/>
  <c r="D16" i="11"/>
  <c r="B12" i="11"/>
  <c r="D5" i="11"/>
  <c r="D66" i="11"/>
  <c r="D59" i="11"/>
  <c r="D42" i="11"/>
  <c r="D28" i="11"/>
  <c r="N63" i="4"/>
  <c r="N97" i="4" s="1"/>
  <c r="N105" i="4" s="1"/>
  <c r="E12" i="4"/>
  <c r="D12" i="4"/>
  <c r="C43" i="11"/>
  <c r="F12" i="4"/>
  <c r="D11" i="11"/>
  <c r="F63" i="13"/>
  <c r="F97" i="13" s="1"/>
  <c r="F105" i="13" s="1"/>
  <c r="F107" i="13" s="1"/>
  <c r="D24" i="11"/>
  <c r="O12" i="4"/>
  <c r="D10" i="11"/>
  <c r="B43" i="11"/>
  <c r="Q12" i="4"/>
  <c r="K12" i="4"/>
  <c r="D61" i="11"/>
  <c r="B9" i="11"/>
  <c r="J12" i="4"/>
  <c r="D30" i="11"/>
  <c r="D22" i="11"/>
  <c r="O63" i="4"/>
  <c r="O97" i="4" s="1"/>
  <c r="O105" i="4" s="1"/>
  <c r="M63" i="4"/>
  <c r="M97" i="4" s="1"/>
  <c r="M105" i="4" s="1"/>
  <c r="N12" i="4"/>
  <c r="I12" i="4"/>
  <c r="D102" i="11"/>
  <c r="P63" i="4"/>
  <c r="P97" i="4" s="1"/>
  <c r="P105" i="4" s="1"/>
  <c r="F63" i="4"/>
  <c r="F97" i="4" s="1"/>
  <c r="F105" i="4" s="1"/>
  <c r="I63" i="13"/>
  <c r="I97" i="13" s="1"/>
  <c r="I105" i="13" s="1"/>
  <c r="I107" i="13" s="1"/>
  <c r="C63" i="13"/>
  <c r="C97" i="13" s="1"/>
  <c r="C105" i="13" s="1"/>
  <c r="R11" i="4"/>
  <c r="G58" i="7"/>
  <c r="I63" i="4"/>
  <c r="I97" i="4" s="1"/>
  <c r="I105" i="4" s="1"/>
  <c r="L63" i="4"/>
  <c r="L97" i="4" s="1"/>
  <c r="L105" i="4" s="1"/>
  <c r="D52" i="11"/>
  <c r="D18" i="11"/>
  <c r="C12" i="11"/>
  <c r="J63" i="4"/>
  <c r="J97" i="4" s="1"/>
  <c r="J105" i="4" s="1"/>
  <c r="Q63" i="4"/>
  <c r="Q97" i="4" s="1"/>
  <c r="Q105" i="4" s="1"/>
  <c r="B11" i="4"/>
  <c r="J63" i="13"/>
  <c r="J97" i="13" s="1"/>
  <c r="J105" i="13" s="1"/>
  <c r="J107" i="13" s="1"/>
  <c r="D60" i="11"/>
  <c r="M12" i="4"/>
  <c r="D63" i="4"/>
  <c r="D97" i="4" s="1"/>
  <c r="D105" i="4" s="1"/>
  <c r="BE68" i="3" s="1"/>
  <c r="R26" i="4"/>
  <c r="R42" i="4"/>
  <c r="D63" i="13"/>
  <c r="D97" i="13" s="1"/>
  <c r="D105" i="13" s="1"/>
  <c r="D23" i="11"/>
  <c r="D19" i="11"/>
  <c r="D14" i="11"/>
  <c r="D7" i="11"/>
  <c r="R8" i="4"/>
  <c r="G63" i="13"/>
  <c r="G97" i="13" s="1"/>
  <c r="G105" i="13" s="1"/>
  <c r="G107" i="13" s="1"/>
  <c r="M53" i="7"/>
  <c r="K58" i="7"/>
  <c r="C27" i="11"/>
  <c r="AB48" i="15"/>
  <c r="H63" i="4"/>
  <c r="H97" i="4" s="1"/>
  <c r="H105" i="4" s="1"/>
  <c r="G63" i="4"/>
  <c r="G97" i="4" s="1"/>
  <c r="G105" i="4" s="1"/>
  <c r="I58" i="7"/>
  <c r="C9" i="11"/>
  <c r="T63" i="4"/>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G94" i="21"/>
  <c r="D43" i="11"/>
  <c r="B12" i="4"/>
  <c r="R12" i="4"/>
  <c r="D12" i="11"/>
  <c r="B13" i="11"/>
  <c r="D27" i="11"/>
  <c r="T97" i="4"/>
  <c r="H63" i="13"/>
  <c r="AO39" i="20"/>
  <c r="AK62" i="20" s="1"/>
  <c r="T804" i="20" s="1"/>
  <c r="AF804" i="20" s="1"/>
  <c r="BE71" i="3"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8" i="21" l="1"/>
  <c r="O27" i="2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AK84" i="20"/>
  <c r="AK191" i="20" s="1"/>
  <c r="T811" i="20" s="1"/>
  <c r="AF811" i="20" s="1"/>
  <c r="BE76" i="3" s="1"/>
  <c r="D13" i="11"/>
  <c r="O58" i="7"/>
  <c r="Q53" i="7"/>
  <c r="T105" i="4"/>
  <c r="H97" i="13"/>
  <c r="P29" i="21" a="1"/>
  <c r="P29" i="21" s="1"/>
  <c r="S29" i="21" s="1"/>
  <c r="P31" i="21" a="1"/>
  <c r="P31" i="21" s="1"/>
  <c r="S31" i="21" s="1"/>
  <c r="P30" i="21" a="1"/>
  <c r="P30" i="21" s="1"/>
  <c r="S30" i="21" s="1"/>
  <c r="P28" i="21" a="1"/>
  <c r="P28" i="21" s="1"/>
  <c r="S28" i="21" s="1"/>
  <c r="P27" i="21" a="1"/>
  <c r="P27" i="21" s="1"/>
  <c r="S27"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07" i="3" l="1"/>
  <c r="AJ1029" i="3"/>
  <c r="AJ1041" i="3"/>
  <c r="AJ1036" i="3"/>
  <c r="I15" i="21" s="1"/>
  <c r="AJ1016" i="3"/>
  <c r="AD11" i="15"/>
  <c r="AD23" i="15" s="1"/>
  <c r="AD26" i="15" s="1"/>
  <c r="AD28" i="15" s="1"/>
  <c r="AI11" i="15"/>
  <c r="AI23" i="15" s="1"/>
  <c r="AI26" i="15" s="1"/>
  <c r="AI28" i="15" s="1"/>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O5" i="7"/>
  <c r="Q4" i="7"/>
  <c r="M7" i="7"/>
  <c r="M11" i="7" s="1"/>
  <c r="M37" i="7" s="1"/>
  <c r="O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K47" i="7"/>
  <c r="K60" i="7"/>
  <c r="K48" i="7"/>
  <c r="U22" i="7"/>
  <c r="U35" i="7" s="1"/>
  <c r="W15" i="7"/>
  <c r="U9" i="7"/>
  <c r="W8" i="7"/>
  <c r="AC53" i="7" l="1"/>
  <c r="AA58" i="7"/>
  <c r="U4" i="7"/>
  <c r="S5" i="7"/>
  <c r="M48" i="7"/>
  <c r="M47" i="7"/>
  <c r="M60" i="7"/>
  <c r="O45" i="7"/>
  <c r="O49" i="7"/>
  <c r="Q7" i="7"/>
  <c r="Q11" i="7" s="1"/>
  <c r="Q37" i="7" s="1"/>
  <c r="S6" i="7"/>
  <c r="I70" i="7"/>
  <c r="I72" i="7" s="1"/>
  <c r="W22" i="7"/>
  <c r="W35" i="7" s="1"/>
  <c r="Y15" i="7"/>
  <c r="W9" i="7"/>
  <c r="Y8" i="7"/>
  <c r="AE53" i="7" l="1"/>
  <c r="AC58" i="7"/>
  <c r="U5" i="7"/>
  <c r="W4" i="7"/>
  <c r="Q49" i="7"/>
  <c r="Q45"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Q60" i="7"/>
  <c r="Q48" i="7"/>
  <c r="Q47" i="7"/>
  <c r="S49" i="7"/>
  <c r="S45" i="7"/>
  <c r="AC15" i="7"/>
  <c r="AA22" i="7"/>
  <c r="AA35" i="7" s="1"/>
  <c r="AC8" i="7"/>
  <c r="AA9" i="7"/>
  <c r="AA4" i="7" l="1"/>
  <c r="Y5" i="7"/>
  <c r="Y6" i="7"/>
  <c r="W7" i="7"/>
  <c r="W11" i="7" s="1"/>
  <c r="W37" i="7" s="1"/>
  <c r="U45" i="7"/>
  <c r="U49" i="7"/>
  <c r="S48" i="7"/>
  <c r="S47" i="7"/>
  <c r="S60" i="7"/>
  <c r="O70" i="7"/>
  <c r="O72" i="7" s="1"/>
  <c r="AE15" i="7"/>
  <c r="AC22" i="7"/>
  <c r="AC35" i="7" s="1"/>
  <c r="AC9" i="7"/>
  <c r="AE8" i="7"/>
  <c r="AA5" i="7" l="1"/>
  <c r="AC4"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Y49" i="7"/>
  <c r="Y45" i="7"/>
  <c r="W60" i="7"/>
  <c r="W47" i="7"/>
  <c r="W48" i="7"/>
  <c r="AE5" i="7" l="1"/>
  <c r="AG4" i="7"/>
  <c r="AA45" i="7"/>
  <c r="AA49" i="7"/>
  <c r="U70" i="7"/>
  <c r="U72" i="7" s="1"/>
  <c r="Y47" i="7"/>
  <c r="Y48" i="7"/>
  <c r="Y60" i="7"/>
  <c r="AE6" i="7"/>
  <c r="AC7" i="7"/>
  <c r="AC11" i="7" s="1"/>
  <c r="AC37" i="7" s="1"/>
  <c r="AG5" i="7" l="1"/>
  <c r="W70" i="7"/>
  <c r="W72" i="7" s="1"/>
  <c r="AA60" i="7"/>
  <c r="AA47" i="7"/>
  <c r="AA48" i="7"/>
  <c r="AC45" i="7"/>
  <c r="AC49" i="7"/>
  <c r="AE7" i="7"/>
  <c r="AE11" i="7" s="1"/>
  <c r="AE37" i="7" s="1"/>
  <c r="AG6" i="7"/>
  <c r="Y70" i="7" l="1"/>
  <c r="Y72" i="7" s="1"/>
  <c r="AG7" i="7"/>
  <c r="AG11" i="7" s="1"/>
  <c r="AG37" i="7" s="1"/>
  <c r="AE49" i="7"/>
  <c r="AE45" i="7"/>
  <c r="AC60" i="7"/>
  <c r="AC48" i="7"/>
  <c r="AC47" i="7"/>
  <c r="AA70" i="7" l="1"/>
  <c r="AA72" i="7" s="1"/>
  <c r="AE47" i="7"/>
  <c r="AE60" i="7"/>
  <c r="AE48" i="7"/>
  <c r="AG49" i="7"/>
  <c r="AG45" i="7"/>
  <c r="AG48" i="7" l="1"/>
  <c r="AG60" i="7"/>
  <c r="AG47" i="7"/>
  <c r="AC70" i="7"/>
  <c r="AC72" i="7" s="1"/>
  <c r="AE70" i="7" l="1"/>
  <c r="AE72" i="7" s="1"/>
  <c r="AG70" i="7" l="1"/>
  <c r="AG72" i="7" s="1"/>
  <c r="BH753" i="3"/>
  <c r="AC753" i="3" s="1"/>
  <c r="BE42" i="3" s="1"/>
  <c r="E93" i="20" l="1"/>
  <c r="E94" i="20" s="1"/>
  <c r="E95" i="20" s="1"/>
  <c r="E103" i="20"/>
  <c r="E106" i="20" s="1"/>
  <c r="AP106" i="20" s="1"/>
  <c r="AK109" i="20" s="1"/>
  <c r="T806" i="20" s="1"/>
  <c r="AF806" i="20" s="1"/>
  <c r="BE73" i="3" s="1"/>
  <c r="H3" i="21" l="1"/>
  <c r="Y64" i="15" l="1"/>
  <c r="Y68" i="15" s="1"/>
  <c r="Y69" i="15" s="1"/>
  <c r="B30" i="13"/>
  <c r="B30" i="4"/>
  <c r="B31" i="11"/>
  <c r="E30" i="4"/>
  <c r="R30" i="4" s="1"/>
  <c r="B32" i="11"/>
  <c r="C33" i="11"/>
  <c r="E33" i="4"/>
  <c r="R33" i="4" s="1"/>
  <c r="S33" i="4" s="1"/>
  <c r="E33" i="13" s="1"/>
  <c r="B44" i="11"/>
  <c r="E45" i="4"/>
  <c r="E45" i="13"/>
  <c r="B46" i="13"/>
  <c r="E46" i="13"/>
  <c r="B50" i="11"/>
  <c r="B53" i="11"/>
  <c r="E52" i="13"/>
  <c r="E56" i="4"/>
  <c r="C70" i="4"/>
  <c r="S70" i="4"/>
  <c r="E70" i="13" s="1"/>
  <c r="B76" i="11"/>
  <c r="B78" i="11" s="1"/>
  <c r="C80" i="11"/>
  <c r="E79" i="4"/>
  <c r="R79" i="4" s="1"/>
  <c r="B81" i="11"/>
  <c r="E80" i="4"/>
  <c r="R80" i="4" s="1"/>
  <c r="S80" i="4" s="1"/>
  <c r="E80" i="13" s="1"/>
  <c r="B84" i="11"/>
  <c r="B87" i="11"/>
  <c r="B99" i="13"/>
  <c r="B31" i="4" l="1"/>
  <c r="B79" i="4"/>
  <c r="B52" i="4"/>
  <c r="E86" i="4"/>
  <c r="R86" i="4" s="1"/>
  <c r="S86" i="4" s="1"/>
  <c r="S96" i="4" s="1"/>
  <c r="E96" i="13" s="1"/>
  <c r="E75" i="4"/>
  <c r="R75" i="4" s="1"/>
  <c r="R77" i="4" s="1"/>
  <c r="E49" i="4"/>
  <c r="R49" i="4" s="1"/>
  <c r="C38" i="4"/>
  <c r="B38" i="4" s="1"/>
  <c r="B80" i="11"/>
  <c r="B82" i="11" s="1"/>
  <c r="B49" i="4"/>
  <c r="B33" i="4"/>
  <c r="E31" i="4"/>
  <c r="R31" i="4" s="1"/>
  <c r="S31" i="4" s="1"/>
  <c r="E31" i="13" s="1"/>
  <c r="C50" i="11"/>
  <c r="D50" i="11" s="1"/>
  <c r="B99" i="4"/>
  <c r="C76" i="11"/>
  <c r="C78" i="11" s="1"/>
  <c r="D78" i="11" s="1"/>
  <c r="B75" i="13"/>
  <c r="C47" i="11"/>
  <c r="B97" i="11"/>
  <c r="B32" i="4"/>
  <c r="B34" i="11"/>
  <c r="B75" i="4"/>
  <c r="B80" i="4"/>
  <c r="B86" i="4"/>
  <c r="N188" i="23" s="1"/>
  <c r="N195" i="23" s="1"/>
  <c r="B83" i="4"/>
  <c r="B43" i="13"/>
  <c r="B33" i="11"/>
  <c r="C81" i="4"/>
  <c r="C77" i="4"/>
  <c r="B77" i="4" s="1"/>
  <c r="B31" i="13"/>
  <c r="C31" i="11"/>
  <c r="D31" i="11" s="1"/>
  <c r="E86" i="13"/>
  <c r="R56" i="4"/>
  <c r="R62" i="4" s="1"/>
  <c r="E62" i="4"/>
  <c r="S79" i="4"/>
  <c r="R81" i="4"/>
  <c r="R45" i="4"/>
  <c r="B70" i="13"/>
  <c r="B70" i="4"/>
  <c r="C96" i="4"/>
  <c r="E83" i="4"/>
  <c r="B56" i="4"/>
  <c r="E52" i="4"/>
  <c r="R52" i="4" s="1"/>
  <c r="B45" i="4"/>
  <c r="B80" i="13"/>
  <c r="B69" i="13"/>
  <c r="B52" i="13"/>
  <c r="B47" i="11"/>
  <c r="C104" i="4"/>
  <c r="E69" i="4"/>
  <c r="S54" i="4"/>
  <c r="E54" i="13" s="1"/>
  <c r="E46" i="4"/>
  <c r="R46" i="4" s="1"/>
  <c r="B49" i="13"/>
  <c r="C100" i="11"/>
  <c r="C53" i="11"/>
  <c r="D53" i="11" s="1"/>
  <c r="C32" i="11"/>
  <c r="D32" i="11" s="1"/>
  <c r="E69" i="13"/>
  <c r="E32" i="4"/>
  <c r="R32" i="4" s="1"/>
  <c r="S32" i="4" s="1"/>
  <c r="E32" i="13" s="1"/>
  <c r="B79" i="13"/>
  <c r="B100" i="11"/>
  <c r="B105" i="11" s="1"/>
  <c r="C87" i="11"/>
  <c r="D87" i="11" s="1"/>
  <c r="C70" i="11"/>
  <c r="C46" i="11"/>
  <c r="B69" i="4"/>
  <c r="C62" i="4"/>
  <c r="B46" i="4"/>
  <c r="E43" i="4"/>
  <c r="R43" i="4" s="1"/>
  <c r="S43" i="4" s="1"/>
  <c r="E43" i="13" s="1"/>
  <c r="B86" i="13"/>
  <c r="B77" i="13"/>
  <c r="B33" i="13"/>
  <c r="C81" i="11"/>
  <c r="D81" i="11" s="1"/>
  <c r="B70" i="11"/>
  <c r="B71" i="11" s="1"/>
  <c r="C57" i="11"/>
  <c r="B46" i="11"/>
  <c r="C34" i="11"/>
  <c r="C54" i="4"/>
  <c r="B83" i="13"/>
  <c r="B56" i="13"/>
  <c r="B57" i="11"/>
  <c r="B63" i="11" s="1"/>
  <c r="E99" i="4"/>
  <c r="E81" i="4"/>
  <c r="B43" i="4"/>
  <c r="B45" i="13"/>
  <c r="B32" i="13"/>
  <c r="C84" i="11"/>
  <c r="C44" i="11"/>
  <c r="D44" i="11" s="1"/>
  <c r="E77" i="4" l="1"/>
  <c r="D76" i="11"/>
  <c r="B38" i="13"/>
  <c r="D80" i="11"/>
  <c r="B39" i="11"/>
  <c r="C82" i="11"/>
  <c r="D82" i="11" s="1"/>
  <c r="D47" i="11"/>
  <c r="D33" i="11"/>
  <c r="D34" i="11"/>
  <c r="B55" i="11"/>
  <c r="B81" i="13"/>
  <c r="B81" i="4"/>
  <c r="D84" i="11"/>
  <c r="C97" i="11"/>
  <c r="D97" i="11" s="1"/>
  <c r="B54" i="13"/>
  <c r="C63" i="4"/>
  <c r="B54" i="4"/>
  <c r="C105" i="11"/>
  <c r="D105" i="11" s="1"/>
  <c r="D100" i="11"/>
  <c r="R83" i="4"/>
  <c r="R96" i="4" s="1"/>
  <c r="E96" i="4"/>
  <c r="B96" i="13"/>
  <c r="B96" i="4"/>
  <c r="B62" i="4"/>
  <c r="B62" i="13"/>
  <c r="E38" i="4"/>
  <c r="E70" i="4"/>
  <c r="R69" i="4"/>
  <c r="R70" i="4" s="1"/>
  <c r="S81" i="4"/>
  <c r="E81" i="13" s="1"/>
  <c r="E79" i="13"/>
  <c r="D57" i="11"/>
  <c r="C63" i="11"/>
  <c r="D63" i="11" s="1"/>
  <c r="R99" i="4"/>
  <c r="E104" i="4"/>
  <c r="C55" i="11"/>
  <c r="D46" i="11"/>
  <c r="B104" i="13"/>
  <c r="B104" i="4"/>
  <c r="E54" i="4"/>
  <c r="R38" i="4"/>
  <c r="D70" i="11"/>
  <c r="C71" i="11"/>
  <c r="D71" i="11" s="1"/>
  <c r="C39" i="11"/>
  <c r="R54" i="4"/>
  <c r="E63" i="4" l="1"/>
  <c r="B64" i="11"/>
  <c r="B98" i="11" s="1"/>
  <c r="B106" i="11" s="1"/>
  <c r="D55" i="11"/>
  <c r="B63" i="4"/>
  <c r="E97" i="4"/>
  <c r="E105" i="4" s="1"/>
  <c r="R63" i="4"/>
  <c r="R97" i="4" s="1"/>
  <c r="S99" i="4"/>
  <c r="R104" i="4"/>
  <c r="C97" i="4"/>
  <c r="B63" i="13"/>
  <c r="S38" i="4"/>
  <c r="E30" i="13"/>
  <c r="C64" i="11"/>
  <c r="D39" i="11"/>
  <c r="R105" i="4" l="1"/>
  <c r="D64" i="11"/>
  <c r="C98" i="11"/>
  <c r="B97" i="13"/>
  <c r="B97" i="4"/>
  <c r="C105" i="4"/>
  <c r="S63" i="4"/>
  <c r="E38" i="13"/>
  <c r="S104" i="4"/>
  <c r="E99" i="13"/>
  <c r="E63" i="13" l="1"/>
  <c r="S97" i="4"/>
  <c r="D98" i="11"/>
  <c r="C106" i="11"/>
  <c r="D106" i="11" s="1"/>
  <c r="BA1058" i="3"/>
  <c r="E104" i="13"/>
  <c r="AC455" i="3"/>
  <c r="B105" i="4"/>
  <c r="BE101" i="3"/>
  <c r="B105" i="13"/>
  <c r="AG269" i="20"/>
  <c r="AC454" i="3" l="1"/>
  <c r="AB47" i="15"/>
  <c r="AB49" i="15" s="1"/>
  <c r="AB266" i="20"/>
  <c r="AG268" i="20" s="1"/>
  <c r="AG270" i="20" s="1"/>
  <c r="AK273" i="20" s="1"/>
  <c r="T812" i="20" s="1"/>
  <c r="AF812" i="20" s="1"/>
  <c r="BE22" i="3"/>
  <c r="N185" i="23"/>
  <c r="E97" i="13"/>
  <c r="AZ1046" i="3"/>
  <c r="S105" i="4"/>
  <c r="BA1056" i="3" l="1"/>
  <c r="AZ1051" i="3"/>
  <c r="N186" i="23"/>
  <c r="N196" i="23"/>
  <c r="BE77" i="3"/>
  <c r="AB54" i="15"/>
  <c r="AB55" i="15" s="1"/>
  <c r="E105" i="13"/>
  <c r="S107" i="4"/>
  <c r="BE44" i="3"/>
  <c r="F457" i="3"/>
  <c r="BA1055" i="3" l="1"/>
  <c r="BA1059" i="3" s="1"/>
  <c r="AF551" i="20"/>
  <c r="AF553" i="20" s="1"/>
  <c r="AK559" i="20" s="1"/>
  <c r="T818" i="20" s="1"/>
  <c r="AF818" i="20" s="1"/>
  <c r="AC456" i="3"/>
  <c r="E107" i="13"/>
  <c r="AA1056" i="3"/>
  <c r="AA1057" i="3" l="1"/>
  <c r="G1058" i="3" s="1"/>
  <c r="T11" i="15"/>
  <c r="T23" i="15" s="1"/>
  <c r="Y11" i="15"/>
  <c r="Y23" i="15" s="1"/>
  <c r="Y26" i="15" s="1"/>
  <c r="Y28" i="15" s="1"/>
  <c r="BE81" i="3"/>
  <c r="AF821" i="20"/>
  <c r="BE70" i="3" s="1"/>
  <c r="T26" i="15" l="1"/>
  <c r="T28" i="15" s="1"/>
  <c r="T29" i="15" s="1"/>
  <c r="AD38" i="15"/>
  <c r="AD40" i="15" s="1"/>
  <c r="Y38" i="15" l="1"/>
  <c r="Y40" i="15" s="1"/>
  <c r="Y41" i="15" s="1"/>
  <c r="AB56" i="15" s="1"/>
  <c r="AB57" i="15" l="1"/>
  <c r="M26" i="3"/>
  <c r="BE19" i="3" l="1"/>
  <c r="P204" i="3"/>
  <c r="AB59" i="15"/>
  <c r="AB77" i="15" s="1"/>
  <c r="AB78" i="15" s="1"/>
  <c r="I10" i="21" l="1"/>
  <c r="I11" i="21" s="1"/>
  <c r="I18" i="21" s="1"/>
  <c r="H4" i="21" s="1"/>
  <c r="H5" i="21" s="1"/>
  <c r="BE83" i="3" s="1"/>
  <c r="AB79" i="15"/>
  <c r="AB81" i="15" s="1"/>
  <c r="J82" i="15" s="1"/>
  <c r="M27" i="3"/>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<sst xmlns="http://schemas.openxmlformats.org/spreadsheetml/2006/main" count="5105" uniqueCount="2747">
  <si>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</si>
  <si>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</si>
  <si>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</si>
  <si>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</si>
  <si>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</si>
  <si>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</si>
  <si>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</si>
  <si>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</si>
  <si>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</si>
  <si>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</si>
  <si>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</si>
  <si>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</si>
  <si>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</si>
  <si>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</si>
  <si>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</si>
  <si>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</si>
  <si>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</si>
  <si>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</si>
  <si>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</si>
  <si>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</si>
  <si>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</si>
  <si>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</si>
  <si>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</si>
  <si>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</si>
  <si>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</si>
  <si>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</si>
  <si>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</si>
  <si>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</si>
  <si>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</si>
  <si>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</si>
  <si>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</si>
  <si>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</si>
  <si>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</si>
  <si>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</si>
  <si>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</si>
  <si>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</si>
  <si>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</si>
  <si>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</si>
  <si>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</si>
  <si>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</si>
  <si>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</si>
  <si>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</si>
  <si>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</si>
  <si>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</si>
  <si>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</si>
  <si>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</si>
  <si>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</si>
  <si>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</si>
  <si>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</si>
  <si>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</si>
  <si>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</si>
  <si>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</si>
  <si>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</si>
  <si>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</si>
  <si>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</si>
  <si>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</si>
  <si>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</si>
  <si>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</si>
  <si>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</si>
  <si>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</si>
  <si>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</si>
  <si>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</si>
  <si>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</si>
  <si>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</si>
  <si>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</si>
  <si>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</si>
  <si>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</si>
  <si>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</si>
  <si>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</si>
  <si>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</si>
  <si>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</si>
  <si>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</si>
  <si>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</si>
  <si>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</si>
  <si>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</si>
  <si>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</si>
  <si>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</si>
  <si>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</si>
  <si>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</si>
  <si>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</si>
  <si>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</si>
  <si>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</si>
  <si>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</si>
  <si>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</si>
  <si>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</si>
  <si>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</si>
  <si>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</si>
  <si>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</si>
  <si>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</si>
  <si>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</si>
  <si>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</si>
  <si>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</si>
  <si>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</si>
  <si>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</si>
  <si>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</si>
  <si>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</si>
  <si>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</si>
  <si>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</si>
  <si>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</si>
  <si>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</si>
  <si>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</si>
  <si>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</si>
  <si>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</si>
  <si>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</si>
  <si>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</si>
  <si>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</si>
  <si>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</si>
  <si>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</si>
  <si>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</si>
  <si>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</si>
  <si>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</si>
  <si>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</si>
  <si>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</si>
  <si>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</si>
  <si>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</si>
  <si>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</si>
  <si>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</si>
  <si>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</si>
  <si>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</si>
  <si>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</si>
  <si>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</si>
  <si>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</si>
  <si>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</si>
  <si>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</si>
  <si>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</si>
  <si>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</si>
  <si>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</si>
  <si>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</si>
  <si>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</si>
  <si>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</si>
  <si>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</si>
  <si>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</si>
  <si>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</si>
  <si>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</si>
  <si>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</si>
  <si>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</si>
  <si>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</si>
  <si>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</si>
  <si>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</si>
  <si>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</si>
  <si>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</si>
  <si>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</si>
  <si>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</si>
  <si>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</si>
  <si>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</si>
  <si>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</si>
  <si>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</si>
  <si>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</si>
  <si>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</si>
  <si>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</si>
  <si>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</si>
  <si>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</si>
  <si>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</si>
  <si>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</si>
  <si>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</si>
  <si>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</si>
  <si>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</si>
  <si>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</si>
  <si>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</si>
  <si>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</si>
  <si>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</si>
  <si>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</si>
  <si>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</si>
  <si>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</si>
  <si>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</si>
  <si>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</si>
  <si>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</si>
  <si>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</si>
  <si>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</si>
  <si>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</si>
  <si>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</si>
  <si>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</si>
  <si>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</si>
  <si>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</si>
  <si>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</si>
  <si>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</si>
  <si>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</si>
  <si>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</si>
  <si>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</si>
  <si>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</si>
  <si>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</si>
  <si>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</si>
  <si>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</si>
  <si>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</si>
  <si>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</si>
  <si>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</si>
  <si>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</si>
  <si>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</si>
  <si>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</si>
  <si>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</si>
  <si>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</si>
  <si>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</si>
  <si>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</si>
  <si>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</si>
  <si>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</si>
  <si>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</si>
  <si>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</si>
  <si>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</si>
  <si>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</si>
  <si>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</si>
  <si>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</si>
  <si>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</si>
  <si>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</si>
  <si>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</si>
  <si>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</si>
  <si>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</si>
  <si>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</si>
  <si>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</si>
  <si>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</si>
  <si>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</si>
  <si>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</si>
  <si>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</si>
  <si>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</si>
  <si>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</si>
  <si>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</si>
  <si>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</si>
  <si>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</si>
  <si>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</si>
  <si>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</si>
  <si>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</si>
  <si>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</si>
  <si>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</si>
  <si>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</si>
  <si>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</si>
  <si>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</si>
  <si>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</si>
  <si>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</si>
  <si>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</si>
  <si>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</si>
  <si>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</si>
  <si>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</si>
  <si>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</si>
  <si>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</si>
  <si>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</si>
  <si>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</si>
  <si>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</si>
  <si>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</si>
  <si>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</si>
  <si>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</si>
  <si>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</si>
  <si>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</si>
  <si>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</si>
  <si>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</si>
  <si>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</si>
  <si>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</si>
  <si>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</si>
  <si>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</si>
  <si>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</si>
  <si>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</si>
  <si>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</si>
  <si>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</si>
  <si>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</si>
  <si>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</si>
  <si>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</si>
  <si>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</si>
  <si>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</si>
  <si>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</si>
  <si>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</si>
  <si>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</si>
  <si>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</si>
  <si>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</si>
  <si>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</si>
  <si>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</si>
  <si>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</si>
  <si>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</si>
  <si>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</si>
  <si>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</si>
  <si>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</si>
  <si>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</si>
  <si>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</si>
  <si>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</si>
  <si>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</si>
  <si>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</si>
  <si>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</si>
  <si>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</si>
  <si>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</si>
  <si>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</si>
  <si>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</si>
  <si>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</si>
  <si>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</si>
  <si>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</si>
  <si>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</si>
  <si>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</si>
  <si>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</si>
  <si>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</si>
  <si>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</si>
  <si>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</si>
  <si>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</si>
  <si>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</si>
  <si>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</si>
  <si>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</si>
  <si>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</si>
  <si>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</si>
  <si>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</si>
  <si>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</si>
  <si>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</si>
  <si>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</si>
  <si>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</si>
  <si>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</si>
  <si>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</si>
  <si>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</si>
  <si>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</si>
  <si>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</si>
  <si>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</si>
  <si>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</si>
  <si>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</si>
  <si>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</si>
  <si>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</si>
  <si>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</si>
  <si>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</si>
  <si>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</si>
  <si>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</si>
  <si>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</si>
  <si>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</si>
  <si>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</si>
  <si>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</si>
  <si>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</si>
  <si>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</si>
  <si>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</si>
  <si>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</si>
  <si>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</si>
  <si>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</si>
  <si>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</si>
  <si>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</si>
  <si>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</si>
  <si>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</si>
  <si>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</si>
  <si>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</si>
  <si>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</si>
  <si>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</si>
  <si>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</si>
  <si>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</si>
  <si>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</si>
  <si>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</si>
  <si>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</si>
  <si>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</si>
  <si>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</si>
  <si>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</si>
  <si>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</si>
  <si>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</si>
  <si>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</si>
  <si>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</si>
  <si>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</si>
  <si>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</si>
  <si>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</si>
  <si>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</si>
  <si>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</si>
  <si>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</si>
  <si>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</si>
  <si>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</si>
  <si>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</si>
  <si>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</si>
  <si>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</si>
  <si>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</si>
  <si>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</si>
  <si>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</si>
  <si>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</si>
  <si>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</si>
  <si>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</si>
  <si>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</si>
  <si>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</si>
  <si>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</si>
  <si>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</si>
  <si>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</si>
  <si>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</si>
  <si>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</si>
  <si>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</si>
  <si>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</si>
  <si>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</si>
  <si>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</si>
  <si>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</si>
  <si>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</si>
  <si>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</si>
  <si>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</si>
  <si>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</si>
  <si>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</si>
  <si>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</si>
  <si>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</si>
  <si>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</si>
  <si>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</si>
  <si>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</si>
  <si>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</si>
  <si>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</si>
  <si>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</si>
  <si>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</si>
  <si>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</si>
  <si>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</si>
  <si>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</si>
  <si>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</si>
  <si>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</si>
  <si>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</si>
  <si>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</si>
  <si>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</si>
  <si>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</si>
  <si>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</si>
  <si>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</si>
  <si>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</si>
  <si>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</si>
  <si>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</si>
  <si>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</si>
  <si>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</si>
  <si>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</si>
  <si>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</si>
  <si>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</si>
  <si>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</si>
  <si>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</si>
  <si>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</si>
  <si>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</si>
  <si>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</si>
  <si>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</si>
  <si>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</si>
  <si>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</si>
  <si>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</si>
  <si>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</si>
  <si>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</si>
  <si>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</si>
  <si>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</si>
  <si>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</si>
  <si>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</si>
  <si>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</si>
  <si>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</si>
  <si>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</si>
  <si>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</si>
  <si>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</si>
  <si>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</si>
  <si>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</si>
  <si>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</si>
  <si>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</si>
  <si>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</si>
  <si>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</si>
  <si>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</si>
  <si>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</si>
  <si>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</si>
  <si>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</si>
  <si>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</si>
  <si>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</si>
  <si>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</si>
  <si>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</si>
  <si>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</si>
  <si>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</si>
  <si>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</si>
  <si>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</si>
  <si>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</si>
  <si>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</si>
  <si>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</si>
  <si>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</si>
  <si>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</si>
  <si>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</si>
  <si>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</si>
  <si>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</si>
  <si>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</si>
  <si>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</si>
  <si>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</si>
  <si>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</si>
  <si>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</si>
  <si>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</si>
  <si>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</si>
  <si>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</si>
  <si>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</si>
  <si>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</si>
  <si>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</si>
  <si>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</si>
  <si>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</si>
  <si>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</si>
  <si>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</si>
  <si>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</si>
  <si>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</si>
  <si>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</si>
  <si>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</si>
  <si>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</si>
  <si>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</si>
  <si>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</si>
  <si>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</si>
  <si>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</si>
  <si>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</si>
  <si>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</si>
  <si>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</si>
  <si>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</si>
  <si>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</si>
  <si>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</si>
  <si>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</si>
  <si>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</si>
  <si>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</si>
  <si>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</si>
  <si>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</si>
  <si>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</si>
  <si>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</si>
  <si>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</si>
  <si>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</si>
  <si>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</si>
  <si>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</si>
  <si>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</si>
  <si>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</si>
  <si>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</si>
  <si>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</si>
  <si>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</si>
  <si>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</si>
  <si>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</si>
  <si>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</si>
  <si>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</si>
  <si>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</si>
  <si>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</si>
  <si>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</si>
  <si>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</si>
  <si>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</si>
  <si>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</si>
  <si>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</si>
  <si>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</si>
  <si>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</si>
  <si>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</si>
  <si>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</si>
  <si>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</si>
  <si>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</si>
  <si>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</si>
  <si>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</si>
  <si>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</si>
  <si>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</si>
  <si>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</si>
  <si>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</si>
  <si>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</si>
  <si>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</si>
  <si>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</si>
  <si>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</si>
  <si>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</si>
  <si>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</si>
  <si>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</si>
  <si>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</si>
  <si>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</si>
  <si>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</si>
  <si>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</si>
  <si>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</si>
  <si>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</si>
  <si>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</si>
  <si>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</si>
  <si>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</si>
  <si>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</si>
  <si>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</si>
  <si>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</si>
  <si>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</si>
  <si>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</si>
  <si>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</si>
  <si>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</si>
  <si>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</si>
  <si>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</si>
  <si>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</si>
  <si>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</si>
  <si>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</si>
  <si>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</si>
  <si>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</si>
  <si>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</si>
  <si>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</si>
  <si>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</si>
  <si>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</si>
  <si>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</si>
  <si>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</si>
  <si>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</si>
  <si>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</si>
  <si>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</si>
  <si>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</si>
  <si>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</si>
  <si>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</si>
  <si>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</si>
  <si>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</si>
  <si>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</si>
  <si>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</si>
  <si>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</si>
  <si>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</si>
  <si>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</si>
  <si>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</si>
  <si>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</si>
  <si>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</si>
  <si>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</si>
  <si>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</si>
  <si>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</si>
  <si>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</si>
  <si>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</si>
  <si>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</si>
  <si>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</si>
  <si>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</si>
  <si>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</si>
  <si>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</si>
  <si>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</si>
  <si>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</si>
  <si>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</si>
  <si>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</si>
  <si>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</si>
  <si>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</si>
  <si>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</si>
  <si>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</si>
  <si>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</si>
  <si>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</si>
  <si>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</si>
  <si>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</si>
  <si>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</si>
  <si>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</si>
  <si>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</si>
  <si>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</si>
  <si>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</si>
  <si>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</si>
  <si>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</si>
  <si>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</si>
  <si>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</si>
  <si>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</si>
  <si>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</si>
  <si>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</si>
  <si>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</si>
  <si>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</si>
  <si>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</si>
  <si>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</si>
  <si>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</si>
  <si>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</si>
  <si>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</si>
  <si>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</si>
  <si>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</si>
  <si>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</si>
  <si>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</si>
  <si>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</si>
  <si>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</si>
  <si>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</si>
  <si>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</si>
  <si>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</si>
  <si>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</si>
  <si>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</si>
  <si>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</si>
  <si>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</si>
  <si>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</si>
  <si>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</si>
  <si>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</si>
  <si>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</si>
  <si>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</si>
  <si>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</si>
  <si>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</si>
  <si>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</si>
  <si>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</si>
  <si>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</si>
  <si>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</si>
  <si>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</si>
  <si>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</si>
  <si>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</si>
  <si>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</si>
  <si>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</si>
  <si>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</si>
  <si>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</si>
  <si>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</si>
  <si>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</si>
  <si>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</si>
  <si>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</si>
  <si>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</si>
  <si>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</si>
  <si>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</si>
  <si>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</si>
  <si>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</si>
  <si>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</si>
  <si>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</si>
  <si>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</si>
  <si>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</si>
  <si>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</si>
  <si>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</si>
  <si>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</si>
  <si>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</si>
  <si>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</si>
  <si>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</si>
  <si>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</si>
  <si>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</si>
  <si>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</si>
  <si>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</si>
  <si>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</si>
  <si>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</si>
  <si>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</si>
  <si>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</si>
  <si>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</si>
  <si>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</si>
  <si>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</si>
  <si>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</si>
  <si>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</si>
  <si>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</si>
  <si>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</si>
  <si>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</si>
  <si>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</si>
  <si>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</si>
  <si>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</si>
  <si>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</si>
  <si>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</si>
  <si>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</si>
  <si>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</si>
  <si>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</si>
  <si>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</si>
  <si>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</si>
  <si>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</si>
  <si>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</si>
  <si>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</si>
  <si>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</si>
  <si>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</si>
  <si>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</si>
  <si>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</si>
  <si>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</si>
  <si>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</si>
  <si>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</si>
  <si>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</si>
  <si>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</si>
  <si>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</si>
  <si>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</si>
  <si>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</si>
  <si>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</si>
  <si>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</si>
  <si>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</si>
  <si>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</si>
  <si>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</si>
  <si>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</si>
  <si>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</si>
  <si>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</si>
  <si>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</si>
  <si>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</si>
  <si>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</si>
  <si>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</si>
  <si>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</si>
  <si>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</si>
  <si>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</si>
  <si>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</si>
  <si>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</si>
  <si>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</si>
  <si>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</si>
  <si>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</si>
  <si>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</si>
  <si>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</si>
  <si>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</si>
  <si>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</si>
  <si>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</si>
  <si>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</si>
  <si>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</si>
  <si>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</si>
  <si>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</si>
  <si>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</si>
  <si>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</si>
  <si>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</si>
  <si>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</si>
  <si>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</si>
  <si>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</si>
  <si>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</si>
  <si>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</si>
  <si>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</si>
  <si>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</si>
  <si>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</si>
  <si>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</si>
  <si>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</si>
  <si>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</si>
  <si>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</si>
  <si>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</si>
  <si>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</si>
  <si>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</si>
  <si>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</si>
  <si>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</si>
  <si>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</si>
  <si>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</si>
  <si>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</si>
  <si>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</si>
  <si>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</si>
  <si>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</si>
  <si>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</si>
  <si>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</si>
  <si>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</si>
  <si>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</si>
  <si>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</si>
  <si>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</si>
  <si>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</si>
  <si>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</si>
  <si>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</si>
  <si>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</si>
  <si>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</si>
  <si>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</si>
  <si>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</si>
  <si>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</si>
  <si>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</si>
  <si>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</si>
  <si>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</si>
  <si>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</si>
  <si>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</si>
  <si>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</si>
  <si>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</si>
  <si>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</si>
  <si>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</si>
  <si>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</si>
  <si>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</si>
  <si>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</si>
  <si>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</si>
  <si>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</si>
  <si>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</si>
  <si>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</si>
  <si>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</si>
  <si>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</si>
  <si>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</si>
  <si>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</si>
  <si>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</si>
  <si>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</si>
  <si>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</si>
  <si>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</si>
  <si>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</si>
  <si>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</si>
  <si>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</si>
  <si>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</si>
  <si>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</si>
  <si>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</si>
  <si>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</si>
  <si>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</si>
  <si>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</si>
  <si>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</si>
  <si>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</si>
  <si>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</si>
  <si>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</si>
  <si>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</si>
  <si>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</si>
  <si>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</si>
  <si>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</si>
  <si>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</si>
  <si>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</si>
  <si>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</si>
  <si>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</si>
  <si>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</si>
  <si>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</si>
  <si>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</si>
  <si>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</si>
  <si>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</si>
  <si>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</si>
  <si>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</si>
  <si>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</si>
  <si>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</si>
  <si>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</si>
  <si>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</si>
  <si>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</si>
  <si>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</si>
  <si>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</si>
  <si>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</si>
  <si>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</si>
  <si>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</si>
  <si>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</si>
  <si>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</si>
  <si>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</si>
  <si>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</si>
  <si>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</si>
  <si>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</si>
  <si>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</si>
  <si>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</si>
  <si>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</si>
  <si>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</si>
  <si>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</si>
  <si>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</si>
  <si>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</si>
  <si>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</si>
  <si>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</si>
  <si>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</si>
  <si>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</si>
  <si>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</si>
  <si>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</si>
  <si>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</si>
  <si>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</si>
  <si>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</si>
  <si>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</si>
  <si>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</si>
  <si>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</si>
  <si>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</si>
  <si>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</si>
  <si>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</si>
  <si>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</si>
  <si>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</si>
  <si>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</si>
  <si>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</si>
  <si>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</si>
  <si>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</si>
  <si>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</si>
  <si>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</si>
  <si>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</si>
  <si>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</si>
  <si>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</si>
  <si>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</si>
  <si>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</si>
  <si>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</si>
  <si>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</si>
  <si>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</si>
  <si>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</si>
  <si>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</si>
  <si>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</si>
  <si>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</si>
  <si>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</si>
  <si>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</si>
  <si>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</si>
  <si>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</si>
  <si>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</si>
  <si>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</si>
  <si>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</si>
  <si>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</si>
  <si>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</si>
  <si>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</si>
  <si>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</si>
  <si>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</si>
  <si>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</si>
  <si>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</si>
  <si>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</si>
  <si>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</si>
  <si>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</si>
  <si>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</si>
  <si>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</si>
  <si>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</si>
  <si>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</si>
  <si>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</si>
  <si>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</si>
  <si>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</si>
  <si>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</si>
  <si>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</si>
  <si>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</si>
  <si>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</si>
  <si>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</si>
  <si>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</si>
  <si>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</si>
  <si>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</si>
  <si>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</si>
  <si>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</si>
  <si>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</si>
  <si>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</si>
  <si>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</si>
  <si>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</si>
  <si>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</si>
  <si>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</si>
  <si>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</si>
  <si>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</si>
  <si>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</si>
  <si>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</si>
  <si>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</si>
  <si>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</si>
  <si>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</si>
  <si>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</si>
  <si>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</si>
  <si>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</si>
  <si>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</si>
  <si>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</si>
  <si>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</si>
  <si>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</si>
  <si>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</si>
  <si>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</si>
  <si>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</si>
  <si>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</si>
  <si>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</si>
  <si>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</si>
  <si>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</si>
  <si>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</si>
  <si>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</si>
  <si>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</si>
  <si>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</si>
  <si>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</si>
  <si>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</si>
  <si>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</si>
  <si>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</si>
  <si>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</si>
  <si>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</si>
  <si>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</si>
  <si>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</si>
  <si>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</si>
  <si>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</si>
  <si>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</si>
  <si>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</si>
  <si>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</si>
  <si>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</si>
  <si>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</si>
  <si>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</si>
  <si>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</si>
  <si>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</si>
  <si>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</si>
  <si>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</si>
  <si>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</si>
  <si>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</si>
  <si>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</si>
  <si>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</si>
  <si>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</si>
  <si>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</si>
  <si>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</si>
  <si>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</si>
  <si>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</si>
  <si>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</si>
  <si>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</si>
  <si>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</si>
  <si>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</si>
  <si>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</si>
  <si>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</si>
  <si>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</si>
  <si>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</si>
  <si>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</si>
  <si>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</si>
  <si>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</si>
  <si>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</si>
  <si>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</si>
  <si>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</si>
  <si>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</si>
  <si>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</si>
  <si>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</si>
  <si>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</si>
  <si>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</si>
  <si>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</si>
  <si>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</si>
  <si>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</si>
  <si>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</si>
  <si>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</si>
  <si>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</si>
  <si>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</si>
  <si>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</si>
  <si>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</si>
  <si>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</si>
  <si>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</si>
  <si>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</si>
  <si>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</si>
  <si>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</si>
  <si>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</si>
  <si>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</si>
  <si>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</si>
  <si>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</si>
  <si>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</si>
  <si>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</si>
  <si>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</si>
  <si>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</si>
  <si>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</si>
  <si>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</si>
  <si>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</si>
  <si>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</si>
  <si>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</si>
  <si>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</si>
  <si>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</si>
  <si>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</si>
  <si>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</si>
  <si>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</si>
  <si>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</si>
  <si>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</si>
  <si>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</si>
  <si>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</si>
  <si>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</si>
  <si>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</si>
  <si>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</si>
  <si>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</si>
  <si>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</si>
  <si>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</si>
  <si>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</si>
  <si>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</si>
  <si>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</si>
  <si>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</si>
  <si>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</si>
  <si>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</si>
  <si>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</si>
  <si>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</si>
  <si>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</si>
  <si>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</si>
  <si>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</si>
  <si>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</si>
  <si>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</si>
  <si>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</si>
  <si>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</si>
  <si>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</si>
  <si>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</si>
  <si>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</si>
  <si>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</si>
  <si>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</si>
  <si>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</si>
  <si>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</si>
  <si>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</si>
  <si>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</si>
  <si>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</si>
  <si>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</si>
  <si>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</si>
  <si>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</si>
  <si>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</si>
  <si>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</si>
  <si>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</si>
  <si>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</si>
  <si>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</si>
  <si>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</si>
  <si>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</si>
  <si>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</si>
  <si>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</si>
  <si>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</si>
  <si>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</si>
  <si>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</si>
  <si>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</si>
  <si>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</si>
  <si>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</si>
  <si>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</si>
  <si>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</si>
  <si>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</si>
  <si>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</si>
  <si>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</si>
  <si>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</si>
  <si>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</si>
  <si>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</si>
  <si>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</si>
  <si>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</si>
  <si>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</si>
  <si>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</si>
  <si>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</si>
  <si>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</si>
  <si>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</si>
  <si>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</si>
  <si>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</si>
  <si>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</si>
  <si>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</si>
  <si>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</si>
  <si>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</si>
  <si>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</si>
  <si>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</si>
  <si>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</si>
  <si>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</si>
  <si>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</si>
  <si>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</si>
  <si>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</si>
  <si>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</si>
  <si>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</si>
  <si>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</si>
  <si>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</si>
  <si>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</si>
  <si>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</si>
  <si>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</si>
  <si>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</si>
  <si>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</si>
  <si>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</si>
  <si>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</si>
  <si>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</si>
  <si>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</si>
  <si>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</si>
  <si>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</si>
  <si>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</si>
  <si>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</si>
  <si>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</si>
  <si>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</si>
  <si>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</si>
  <si>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</si>
  <si>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</si>
  <si>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</si>
  <si>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</si>
  <si>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</si>
  <si>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</si>
  <si>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</si>
  <si>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</si>
  <si>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</si>
  <si>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</si>
  <si>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</si>
  <si>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</si>
  <si>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</si>
  <si>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</si>
  <si>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</si>
  <si>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</si>
  <si>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</si>
  <si>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</si>
  <si>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</si>
  <si>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</si>
  <si>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</si>
  <si>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</si>
  <si>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</si>
  <si>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</si>
  <si>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</si>
  <si>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</si>
  <si>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</si>
  <si>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</si>
  <si>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</si>
  <si>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</si>
  <si>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</si>
  <si>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</si>
  <si>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</si>
  <si>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</si>
  <si>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</si>
  <si>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</si>
  <si>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</si>
  <si>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</si>
  <si>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</si>
  <si>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</si>
  <si>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</si>
  <si>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</si>
  <si>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</si>
  <si>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</si>
  <si>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</si>
  <si>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</si>
  <si>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</si>
  <si>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</si>
  <si>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</si>
  <si>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</si>
  <si>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</si>
  <si>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</si>
  <si>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</si>
  <si>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</si>
  <si>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</si>
  <si>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</si>
  <si>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</si>
  <si>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</si>
  <si>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</si>
  <si>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</si>
  <si>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</si>
  <si>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</si>
  <si>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</si>
  <si>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</si>
  <si>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</si>
  <si>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</si>
  <si>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</si>
  <si>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</si>
  <si>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</si>
  <si>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</si>
  <si>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</si>
  <si>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</si>
  <si>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</si>
  <si>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</si>
  <si>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</si>
  <si>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</si>
  <si>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</si>
  <si>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</si>
  <si>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</si>
  <si>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</si>
  <si>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</si>
  <si>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</si>
  <si>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</si>
  <si>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</si>
  <si>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</si>
  <si>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</si>
  <si>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</si>
  <si>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</si>
  <si>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</si>
  <si>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</si>
  <si>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</si>
  <si>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</si>
  <si>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</si>
  <si>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</si>
  <si>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</si>
  <si>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</si>
  <si>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</si>
  <si>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</si>
  <si>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</si>
  <si>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</si>
  <si>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</si>
  <si>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</si>
  <si>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</si>
  <si>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</si>
  <si>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</si>
  <si>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</si>
  <si>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</si>
  <si>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</si>
  <si>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</si>
  <si>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</si>
  <si>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</si>
  <si>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</si>
  <si>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</si>
  <si>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</si>
  <si>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</si>
  <si>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</si>
  <si>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</si>
  <si>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</si>
  <si>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</si>
  <si>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</si>
  <si>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</si>
  <si>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</si>
  <si>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</si>
  <si>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</si>
  <si>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</si>
  <si>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</si>
  <si>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</si>
  <si>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</si>
  <si>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</si>
  <si>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</si>
  <si>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</si>
  <si>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</si>
  <si>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</si>
  <si>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</si>
  <si>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</si>
  <si>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</si>
  <si>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</si>
  <si>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</si>
  <si>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</si>
  <si>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</si>
  <si>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</si>
  <si>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</si>
  <si>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</si>
  <si>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</si>
  <si>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</si>
  <si>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</si>
  <si>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</si>
  <si>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</si>
  <si>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</si>
  <si>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</si>
  <si>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</si>
  <si>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</si>
  <si>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</si>
  <si>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</si>
  <si>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</si>
  <si>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</si>
  <si>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</si>
  <si>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</si>
  <si>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</si>
  <si>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</si>
  <si>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</si>
  <si>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</si>
  <si>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</si>
  <si>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</si>
  <si>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</si>
  <si>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</si>
  <si>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</si>
  <si>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</si>
  <si>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</si>
  <si>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</si>
  <si>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</si>
  <si>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</si>
  <si>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</si>
  <si>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</si>
  <si>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</si>
  <si>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</si>
  <si>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</si>
  <si>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</si>
  <si>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</si>
  <si>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</si>
  <si>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</si>
  <si>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</si>
  <si>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</si>
  <si>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</si>
  <si>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</si>
  <si>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</si>
  <si>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</si>
  <si>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</si>
  <si>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</si>
  <si>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</si>
  <si>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</si>
  <si>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</si>
  <si>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</si>
  <si>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</si>
  <si>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</si>
  <si>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</si>
  <si>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</si>
  <si>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</si>
  <si>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</si>
  <si>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</si>
  <si>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</si>
  <si>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</si>
  <si>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</si>
  <si>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</si>
  <si>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</si>
  <si>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</si>
  <si>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</si>
  <si>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</si>
  <si>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</si>
  <si>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</si>
  <si>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</si>
  <si>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</si>
  <si>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</si>
  <si>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</si>
  <si>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</si>
  <si>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</si>
  <si>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</si>
  <si>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</si>
  <si>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</si>
  <si>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</si>
  <si>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</si>
  <si>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</si>
  <si>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</si>
  <si>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</si>
  <si>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</si>
  <si>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</si>
  <si>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</si>
  <si>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</si>
  <si>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</si>
  <si>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</si>
  <si>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</si>
  <si>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</si>
  <si>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</si>
  <si>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</si>
  <si>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</si>
  <si>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</si>
  <si>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</si>
  <si>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</si>
  <si>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</si>
  <si>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</si>
  <si>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</si>
  <si>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</si>
  <si>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</si>
  <si>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</si>
  <si>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</si>
  <si>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</si>
  <si>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</si>
  <si>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</si>
  <si>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</si>
  <si>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</si>
  <si>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</si>
  <si>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</si>
  <si>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</si>
  <si>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</si>
  <si>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</si>
  <si>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</si>
  <si>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</si>
  <si>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</si>
  <si>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</si>
  <si>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</si>
  <si>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</si>
  <si>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</si>
  <si>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</si>
  <si>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</si>
  <si>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</si>
  <si>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</si>
  <si>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</si>
  <si>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</si>
  <si>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</si>
  <si>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</si>
  <si>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</si>
  <si>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</si>
  <si>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</si>
  <si>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</si>
  <si>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</si>
  <si>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</si>
  <si>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</si>
  <si>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</si>
  <si>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</si>
  <si>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</si>
  <si>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</si>
  <si>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</si>
  <si>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</si>
  <si>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</si>
  <si>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</si>
  <si>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</si>
  <si>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</si>
  <si>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</si>
  <si>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</si>
  <si>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</si>
  <si>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</si>
  <si>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</si>
  <si>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</si>
  <si>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</si>
  <si>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</si>
  <si>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</si>
  <si>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</si>
  <si>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</si>
  <si>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</si>
  <si>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</si>
  <si>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</si>
  <si>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</si>
  <si>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</si>
  <si>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</si>
  <si>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</si>
  <si>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</si>
  <si>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</si>
  <si>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</si>
  <si>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</si>
  <si>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</si>
  <si>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</si>
  <si>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</si>
  <si>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</si>
  <si>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</si>
  <si>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</si>
  <si>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</si>
  <si>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</si>
  <si>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</si>
  <si>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</si>
  <si>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</si>
  <si>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</si>
  <si>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</si>
  <si>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</si>
  <si>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</si>
  <si>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</si>
  <si>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</si>
  <si>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</si>
  <si>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</si>
  <si>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</si>
  <si>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</si>
  <si>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</si>
  <si>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</si>
  <si>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</si>
  <si>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</si>
  <si>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</si>
  <si>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</si>
  <si>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</si>
  <si>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</si>
  <si>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</si>
  <si>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</si>
  <si>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</si>
  <si>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</si>
  <si>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</si>
  <si>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</si>
  <si>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</si>
  <si>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</si>
  <si>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</si>
  <si>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</si>
  <si>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</si>
  <si>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</si>
  <si>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</si>
  <si>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</si>
  <si>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</si>
  <si>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</si>
  <si>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</si>
  <si>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</si>
  <si>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</si>
  <si>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</si>
  <si>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</si>
  <si>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</si>
  <si>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</si>
  <si>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</si>
  <si>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</si>
  <si>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</si>
  <si>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</si>
  <si>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</si>
  <si>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</si>
  <si>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</si>
  <si>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</si>
  <si>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</si>
  <si>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</si>
  <si>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</si>
  <si>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</si>
  <si>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</si>
  <si>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</si>
  <si>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</si>
  <si>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</si>
  <si>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</si>
  <si>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</si>
  <si>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</si>
  <si>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</si>
  <si>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</si>
  <si>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</si>
  <si>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</si>
  <si>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</si>
  <si>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</si>
  <si>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</si>
  <si>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</si>
  <si>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</si>
  <si>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</si>
  <si>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</si>
  <si>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</si>
  <si>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</si>
  <si>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</si>
  <si>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</si>
  <si>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</si>
  <si>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</si>
  <si>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</si>
  <si>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</si>
  <si>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</si>
  <si>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</si>
  <si>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</si>
  <si>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</si>
  <si>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</si>
  <si>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</si>
  <si>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</si>
  <si>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</si>
  <si>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</si>
  <si>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</si>
  <si>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</si>
  <si>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</si>
  <si>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</si>
  <si>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</si>
  <si>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</si>
  <si>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</si>
  <si>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</si>
  <si>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</si>
  <si>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</si>
  <si>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</si>
  <si>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</si>
  <si>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</si>
  <si>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</si>
  <si>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</si>
  <si>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</si>
  <si>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</si>
  <si>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</si>
  <si>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</si>
  <si>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</si>
  <si>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</si>
  <si>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</si>
  <si>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</si>
  <si>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</si>
  <si>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</si>
  <si>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</si>
  <si>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</si>
  <si>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</si>
  <si>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</si>
  <si>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</si>
  <si>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</si>
  <si>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</si>
  <si>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</si>
  <si>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</si>
  <si>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</si>
  <si>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</si>
  <si>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</si>
  <si>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</si>
  <si>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</si>
  <si>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</si>
  <si>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</si>
  <si>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</si>
  <si>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</si>
  <si>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</si>
  <si>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</si>
  <si>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</si>
  <si>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</si>
  <si>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</si>
  <si>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</si>
  <si>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</si>
  <si>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</si>
  <si>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</si>
  <si>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</si>
  <si>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</si>
  <si>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</si>
  <si>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</si>
  <si>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</si>
  <si>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</si>
  <si>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</si>
  <si>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</si>
  <si>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</si>
  <si>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</si>
  <si>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</si>
  <si>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</si>
  <si>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</si>
  <si>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</si>
  <si>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</si>
  <si>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</si>
  <si>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</si>
  <si>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</si>
  <si>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</si>
  <si>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</si>
  <si>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</si>
  <si>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</si>
  <si>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</si>
  <si>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</si>
  <si>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</si>
  <si>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</si>
  <si>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</si>
  <si>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</si>
  <si>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</si>
  <si>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</si>
  <si>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</si>
  <si>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</si>
  <si>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</si>
  <si>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</si>
  <si>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</si>
  <si>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</si>
  <si>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</si>
  <si>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</si>
  <si>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</si>
  <si>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</si>
  <si>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</si>
  <si>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</si>
  <si>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</si>
  <si>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</si>
  <si>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</si>
  <si>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</si>
  <si>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</si>
  <si>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</si>
  <si>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</si>
  <si>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</si>
  <si>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</si>
  <si>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</si>
  <si>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</si>
  <si>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</si>
  <si>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</si>
  <si>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</si>
  <si>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</si>
  <si>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</si>
  <si>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</si>
  <si>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</si>
  <si>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</si>
  <si>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</si>
  <si>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</si>
  <si>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</si>
  <si>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</si>
  <si>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</si>
  <si>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</si>
  <si>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</si>
  <si>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</si>
  <si>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</si>
  <si>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</si>
  <si>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</si>
  <si>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</si>
  <si>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</si>
  <si>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</si>
  <si>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</si>
  <si>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</si>
  <si>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</si>
  <si>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</si>
  <si>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</si>
  <si>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</si>
  <si>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</si>
  <si>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</si>
  <si>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</si>
  <si>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</si>
  <si>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</si>
  <si>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</si>
  <si>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</si>
  <si>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</si>
  <si>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</si>
  <si>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</si>
  <si>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</si>
  <si>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</si>
  <si>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</si>
  <si>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</si>
  <si>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</si>
  <si>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</si>
  <si>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</si>
  <si>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</si>
  <si>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</si>
  <si>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</si>
  <si>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</si>
  <si>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</si>
  <si>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</si>
  <si>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</si>
  <si>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</si>
  <si>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</si>
  <si>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</si>
  <si>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</si>
  <si>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</si>
  <si>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</si>
  <si>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</si>
  <si>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</si>
  <si>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</si>
  <si>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</si>
  <si>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</si>
  <si>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</si>
  <si>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</si>
  <si>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</si>
  <si>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</si>
  <si>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</si>
  <si>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</si>
  <si>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</si>
  <si>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</si>
  <si>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</si>
  <si>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</si>
  <si>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</si>
  <si>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</si>
  <si>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</si>
  <si>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</si>
  <si>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</si>
  <si>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</si>
  <si>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</si>
  <si>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</si>
  <si>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</si>
  <si>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</si>
  <si>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</si>
  <si>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</si>
  <si>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</si>
  <si>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</si>
  <si>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</si>
  <si>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</si>
  <si>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</si>
  <si>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</si>
  <si>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</si>
  <si>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</si>
  <si>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</si>
  <si>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</si>
  <si>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</si>
  <si>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</si>
  <si>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</si>
  <si>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</si>
  <si>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</si>
  <si>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</si>
  <si>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</si>
  <si>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</si>
  <si>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</si>
  <si>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</si>
  <si>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</si>
  <si>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</si>
  <si>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</si>
  <si>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</si>
  <si>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</si>
  <si>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</si>
  <si>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</si>
  <si>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</si>
  <si>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</si>
  <si>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</si>
  <si>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</si>
  <si>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</si>
  <si>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</si>
  <si>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</si>
  <si>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</si>
  <si>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</si>
  <si>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</si>
  <si>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</si>
  <si>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</si>
  <si>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</si>
  <si>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</si>
  <si>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</si>
  <si>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</si>
  <si>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</si>
  <si>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</si>
  <si>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</si>
  <si>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</si>
  <si>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</si>
  <si>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</si>
  <si>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</si>
  <si>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</si>
  <si>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</si>
  <si>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</si>
  <si>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</si>
  <si>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</si>
  <si>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</si>
  <si>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</si>
  <si>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</si>
  <si>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</si>
  <si>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</si>
  <si>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</si>
  <si>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</si>
  <si>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</si>
  <si>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</si>
  <si>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</si>
  <si>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</si>
  <si>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</si>
  <si>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</si>
  <si>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</si>
  <si>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</si>
  <si>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</si>
  <si>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</si>
  <si>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</si>
  <si>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</si>
  <si>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</si>
  <si>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</si>
  <si>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</si>
  <si>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</si>
  <si>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</si>
  <si>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</si>
  <si>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</si>
  <si>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</si>
  <si>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</si>
  <si>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</si>
  <si>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</si>
  <si>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</si>
  <si>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</si>
  <si>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</si>
  <si>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</si>
  <si>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</si>
  <si>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</si>
  <si>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</si>
  <si>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</si>
  <si>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</si>
  <si>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</si>
  <si>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</si>
  <si>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</si>
  <si>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</si>
  <si>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</si>
  <si>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</si>
  <si>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</si>
  <si>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</si>
  <si>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</si>
  <si>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</si>
  <si>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</si>
  <si>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</si>
  <si>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</si>
  <si>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</si>
  <si>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</si>
  <si>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</si>
  <si>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</si>
  <si>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</si>
  <si>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</si>
  <si>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</si>
  <si>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</si>
  <si>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</si>
  <si>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</si>
  <si>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</si>
  <si>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</si>
  <si>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</si>
  <si>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</si>
  <si>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</si>
  <si>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</si>
  <si>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</si>
  <si>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</si>
  <si>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</si>
  <si>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</si>
  <si>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</si>
  <si>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</si>
  <si>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</si>
  <si>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</si>
  <si>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</si>
  <si>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</si>
  <si>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</si>
  <si>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</si>
  <si>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</si>
  <si>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</si>
  <si>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</si>
  <si>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</si>
  <si>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</si>
  <si>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</si>
  <si>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</si>
  <si>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</si>
  <si>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</si>
  <si>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</si>
  <si>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</si>
  <si>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</si>
  <si>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</si>
  <si>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</si>
  <si>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</si>
  <si>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</si>
  <si>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</si>
  <si>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</si>
  <si>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</si>
  <si>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</si>
  <si>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</si>
  <si>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</si>
  <si>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</si>
  <si>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</si>
  <si>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</si>
  <si>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</si>
  <si>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</si>
  <si>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</si>
  <si>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</si>
  <si>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</si>
  <si>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</si>
  <si>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</si>
  <si>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</si>
  <si>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</si>
  <si>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</si>
  <si>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</si>
  <si>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</si>
  <si>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</si>
  <si>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</si>
  <si>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</si>
  <si>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</si>
  <si>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</si>
  <si>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</si>
  <si>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</si>
  <si>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</si>
  <si>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</si>
  <si>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</si>
  <si>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</si>
  <si>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</si>
  <si>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</si>
  <si>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</si>
  <si>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</si>
  <si>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</si>
  <si>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</si>
  <si>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</si>
  <si>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</si>
  <si>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</si>
  <si>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</si>
  <si>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</si>
  <si>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</si>
  <si>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</si>
  <si>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</si>
  <si>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</si>
  <si>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</si>
  <si>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</si>
  <si>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</si>
  <si>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</si>
  <si>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</si>
  <si>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</si>
  <si>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</si>
  <si>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</si>
  <si>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</si>
  <si>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</si>
  <si>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</si>
  <si>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</si>
  <si>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</si>
  <si>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</si>
  <si>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</si>
  <si>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</si>
  <si>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</si>
  <si>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</si>
  <si>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</si>
  <si>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</si>
  <si>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</si>
  <si>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</si>
  <si>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</si>
  <si>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</si>
  <si>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</si>
  <si>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</si>
  <si>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</si>
  <si>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</si>
  <si>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</si>
  <si>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</si>
  <si>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</si>
  <si>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</si>
  <si>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</si>
  <si>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</si>
  <si>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</si>
  <si>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</si>
  <si>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</si>
  <si>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</si>
  <si>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</si>
  <si>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</si>
  <si>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</si>
  <si>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</si>
  <si>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</si>
  <si>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</si>
  <si>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</si>
  <si>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</si>
  <si>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</si>
  <si>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</si>
  <si>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</si>
  <si>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</si>
  <si>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</si>
  <si>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</si>
  <si>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</si>
  <si>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</si>
  <si>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</si>
  <si>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</si>
  <si>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</si>
  <si>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</si>
  <si>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</si>
  <si>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</si>
  <si>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</si>
  <si>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</si>
  <si>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</si>
  <si>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</si>
  <si>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</si>
  <si>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</si>
  <si>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</si>
  <si>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</si>
  <si>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</si>
  <si>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</si>
  <si>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</si>
  <si>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</si>
  <si>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</si>
  <si>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</si>
  <si>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</si>
  <si>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</si>
  <si>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</si>
  <si>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</si>
  <si>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</si>
  <si>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</si>
  <si>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</si>
  <si>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</si>
  <si>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</si>
  <si>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</si>
  <si>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</si>
  <si>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</si>
  <si>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</si>
  <si>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</si>
  <si>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</si>
  <si>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</si>
  <si>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</si>
  <si>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</si>
  <si>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</si>
  <si>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</si>
  <si>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</si>
  <si>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</si>
  <si>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</si>
  <si>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</si>
  <si>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</si>
  <si>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</si>
  <si>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</si>
  <si>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</si>
  <si>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</si>
  <si>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</si>
  <si>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</si>
  <si>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</si>
  <si>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</si>
  <si>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</si>
  <si>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</si>
  <si>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</si>
  <si>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</si>
  <si>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</si>
  <si>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</si>
  <si>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</si>
  <si>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</si>
  <si>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</si>
  <si>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</si>
  <si>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</si>
  <si>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</si>
  <si>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</si>
  <si>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</si>
  <si>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</si>
  <si>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</si>
  <si>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</si>
  <si>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</si>
  <si>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</si>
  <si>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</si>
  <si>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</si>
  <si>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</si>
  <si>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</si>
  <si>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</si>
  <si>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</si>
  <si>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</si>
  <si>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</si>
  <si>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</si>
  <si>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</si>
  <si>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</si>
  <si>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</si>
  <si>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</si>
  <si>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</si>
  <si>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</si>
  <si>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</si>
  <si>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</si>
  <si>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</si>
  <si>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</si>
  <si>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</si>
  <si>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</si>
  <si>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</si>
  <si>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</si>
  <si>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</si>
  <si>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</si>
  <si>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</si>
  <si>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</si>
  <si>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</si>
  <si>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</si>
  <si>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</si>
  <si>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</si>
  <si>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</si>
  <si>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</si>
  <si>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</si>
  <si>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</si>
  <si>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</si>
  <si>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</si>
  <si>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</si>
  <si>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</si>
  <si>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</si>
  <si>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</si>
  <si>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</si>
  <si>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</si>
  <si>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</si>
  <si>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</si>
  <si>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</si>
  <si>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</si>
  <si>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</si>
  <si>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</si>
  <si>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</si>
  <si>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</si>
  <si>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</si>
  <si>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</si>
  <si>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</si>
  <si>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</si>
  <si>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</si>
  <si>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</si>
  <si>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</si>
  <si>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</si>
  <si>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</si>
  <si>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</si>
  <si>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</si>
  <si>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</si>
  <si>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</si>
  <si>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</si>
  <si>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</si>
  <si>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</si>
  <si>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</si>
  <si>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</si>
  <si>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</si>
  <si>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</si>
  <si>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</si>
  <si>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</si>
  <si>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</si>
  <si>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</si>
  <si>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</si>
  <si>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</si>
  <si>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</si>
  <si>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</si>
  <si>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</si>
  <si>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</si>
  <si>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</si>
  <si>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</si>
  <si>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</si>
  <si>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</si>
  <si>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</si>
  <si>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</si>
  <si>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</si>
  <si>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</si>
  <si>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</si>
  <si>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</si>
  <si>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</si>
  <si>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</si>
  <si>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</si>
  <si>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</si>
  <si>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</si>
  <si>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</si>
  <si>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</si>
  <si>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</si>
  <si>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</si>
  <si>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</si>
  <si>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</si>
  <si>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</si>
  <si>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</si>
  <si>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</si>
  <si>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</si>
  <si>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</si>
  <si>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</si>
  <si>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</si>
  <si>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</si>
  <si>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</si>
  <si>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</si>
  <si>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</si>
  <si>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</si>
  <si>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</si>
  <si>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</si>
  <si>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</si>
  <si>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</si>
  <si>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</si>
  <si>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</si>
  <si>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</si>
  <si>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</si>
  <si>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</si>
  <si>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</si>
  <si>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</si>
  <si>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</si>
  <si>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</si>
  <si>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</si>
  <si>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</si>
  <si>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</si>
  <si>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</si>
  <si>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</si>
  <si>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</si>
  <si>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</si>
  <si>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</si>
  <si>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</si>
  <si>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</si>
  <si>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</si>
  <si>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</si>
  <si>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</si>
  <si>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</si>
  <si>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</si>
  <si>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</si>
  <si>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</si>
  <si>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</si>
  <si>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</si>
  <si>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</si>
  <si>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</si>
  <si>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</si>
  <si>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</si>
  <si>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</si>
  <si>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</si>
  <si>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</si>
  <si>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</si>
  <si>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</si>
  <si>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</si>
  <si>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</si>
  <si>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</si>
  <si>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</si>
  <si>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</si>
  <si>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</si>
  <si>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</si>
  <si>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</si>
  <si>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</si>
  <si>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</si>
  <si>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</si>
  <si>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</si>
  <si>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</si>
  <si>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</si>
  <si>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</si>
  <si>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</si>
  <si>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</si>
  <si>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</si>
  <si>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</si>
  <si>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</si>
  <si>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</si>
  <si>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</si>
  <si>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</si>
  <si>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</si>
  <si>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</si>
  <si>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</si>
  <si>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</si>
  <si>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</si>
  <si>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</si>
  <si>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</si>
  <si>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</si>
  <si>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</si>
  <si>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</si>
  <si>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</si>
  <si>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</si>
  <si>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</si>
  <si>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</si>
  <si>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</si>
  <si>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</si>
  <si>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</si>
  <si>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</si>
  <si>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</si>
  <si>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</si>
  <si>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</si>
  <si>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</si>
  <si>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</si>
  <si>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</si>
  <si>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</si>
  <si>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</si>
  <si>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</si>
  <si>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</si>
  <si>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</si>
  <si>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</si>
  <si>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</si>
  <si>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</si>
  <si>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</si>
  <si>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</si>
  <si>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</si>
  <si>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</si>
  <si>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</si>
  <si>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</si>
  <si>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</si>
  <si>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</si>
  <si>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</si>
  <si>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</si>
  <si>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</si>
  <si>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</si>
  <si>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</si>
  <si>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</si>
  <si>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</si>
  <si>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</si>
  <si>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</si>
  <si>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</si>
  <si>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</si>
  <si>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</si>
  <si>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</si>
  <si>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</si>
  <si>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</si>
  <si>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</si>
  <si>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</si>
  <si>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</si>
  <si>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</si>
  <si>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</si>
  <si>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</si>
  <si>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</si>
  <si>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</si>
  <si>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</si>
  <si>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</si>
  <si>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</si>
  <si>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</si>
  <si>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</si>
  <si>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</si>
  <si>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</si>
  <si>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</si>
  <si>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</si>
  <si>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</si>
  <si>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</si>
  <si>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</si>
  <si>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</si>
  <si>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</si>
  <si>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</si>
  <si>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</si>
  <si>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</si>
  <si>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</si>
  <si>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</si>
  <si>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</si>
  <si>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</si>
  <si>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</si>
  <si>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</si>
  <si>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</si>
  <si>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</si>
  <si>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</si>
  <si>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</si>
  <si>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</si>
  <si>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</si>
  <si>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</si>
  <si>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</si>
  <si>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</si>
  <si>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</si>
  <si>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</si>
  <si>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</si>
  <si>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</si>
  <si>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</si>
  <si>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</si>
  <si>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</si>
  <si>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</si>
  <si>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</si>
  <si>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</si>
  <si>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</si>
  <si>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</si>
  <si>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</si>
  <si>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</si>
  <si>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</si>
  <si>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</si>
  <si>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</si>
  <si>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</si>
  <si>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</si>
  <si>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</si>
  <si>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</si>
  <si>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</si>
  <si>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</si>
  <si>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</si>
  <si>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</si>
  <si>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</si>
  <si>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</si>
  <si>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</si>
  <si>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</si>
  <si>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</si>
  <si>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</si>
  <si>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</si>
  <si>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</si>
  <si>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</si>
  <si>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</si>
  <si>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</si>
  <si>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</si>
  <si>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</si>
  <si>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</si>
  <si>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</si>
  <si>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</si>
  <si>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</si>
  <si>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</si>
  <si>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</si>
  <si>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</si>
  <si>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</si>
  <si>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</si>
  <si>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</si>
  <si>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</si>
  <si>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</si>
  <si>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</si>
  <si>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</si>
  <si>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</si>
  <si>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</si>
  <si>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</si>
  <si>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</si>
  <si>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</si>
  <si>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</si>
  <si>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</si>
  <si>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</si>
  <si>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</si>
  <si>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</si>
  <si>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</si>
  <si>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</si>
  <si>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</si>
  <si>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</si>
  <si>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</si>
  <si>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</si>
  <si>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</si>
  <si>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</si>
  <si>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</si>
  <si>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</si>
  <si>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</si>
  <si>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</si>
  <si>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</si>
  <si>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</si>
  <si>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</si>
  <si>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</si>
  <si>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</si>
  <si>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</si>
  <si>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</si>
  <si>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</si>
  <si>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</si>
  <si>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</si>
  <si>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</si>
  <si>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</si>
  <si>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</si>
  <si>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</si>
  <si>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</si>
  <si>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</si>
  <si>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</si>
  <si>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</si>
  <si>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</si>
  <si>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</si>
  <si>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</si>
  <si>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</si>
  <si>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</si>
  <si>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</si>
  <si>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</si>
  <si>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</si>
  <si>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</si>
  <si>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</si>
  <si>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</si>
  <si>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</si>
  <si>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</si>
  <si>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</si>
  <si>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</si>
  <si>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</si>
  <si>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</si>
  <si>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</si>
  <si>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</si>
  <si>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</si>
  <si>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</si>
  <si>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</si>
  <si>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</si>
  <si>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</si>
  <si>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</si>
  <si>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</si>
  <si>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</si>
  <si>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</si>
  <si>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</si>
  <si>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</si>
  <si>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</si>
  <si>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</si>
  <si>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</si>
  <si>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</si>
  <si>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</si>
  <si>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</si>
  <si>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</si>
  <si>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</si>
  <si>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</si>
  <si>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</si>
  <si>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</si>
  <si>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</si>
  <si>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</si>
  <si>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</si>
  <si>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</si>
  <si>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</si>
  <si>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</si>
  <si>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</si>
  <si>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</si>
  <si>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</si>
  <si>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</si>
  <si>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</si>
  <si>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</si>
  <si>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</si>
  <si>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</si>
  <si>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</si>
  <si>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</si>
  <si>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</si>
  <si>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</si>
  <si>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</si>
  <si>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</si>
  <si>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</si>
  <si>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</si>
  <si>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</si>
  <si>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</si>
  <si>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</si>
  <si>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</si>
  <si>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</si>
  <si>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</si>
  <si>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</si>
  <si>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</si>
  <si>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</si>
  <si>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</si>
  <si>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</si>
  <si>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</si>
  <si>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</si>
  <si>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</si>
  <si>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</si>
  <si>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</si>
  <si>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</si>
  <si>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</si>
  <si>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</si>
  <si>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</si>
  <si>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</si>
  <si>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</si>
  <si>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</si>
  <si>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</si>
  <si>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</si>
  <si>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</si>
  <si>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</si>
  <si>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</si>
  <si>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</si>
  <si>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</si>
  <si>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</si>
  <si>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</si>
  <si>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</si>
  <si>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</si>
  <si>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</si>
  <si>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</si>
  <si>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</si>
  <si>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</si>
  <si>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</si>
  <si>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</si>
  <si>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</si>
  <si>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</si>
  <si>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</si>
  <si>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</si>
  <si>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</si>
  <si>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</si>
  <si>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</si>
  <si>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</si>
  <si>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</si>
  <si>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</si>
  <si>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</si>
  <si>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</si>
  <si>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</si>
  <si>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</si>
  <si>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</si>
  <si>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</si>
  <si>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</si>
  <si>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</si>
  <si>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</si>
  <si>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</si>
  <si>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</si>
  <si>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</si>
  <si>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</si>
  <si>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</si>
  <si>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</si>
  <si>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</si>
  <si>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</si>
  <si>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</si>
  <si>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</si>
  <si>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</si>
  <si>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</si>
  <si>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</si>
  <si>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</si>
  <si>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</si>
  <si>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</si>
  <si>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</si>
  <si>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</si>
  <si>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</si>
  <si>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</si>
  <si>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</si>
  <si>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</si>
  <si>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</si>
  <si>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</si>
  <si>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</si>
  <si>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</si>
  <si>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</si>
  <si>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</si>
  <si>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</si>
  <si>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</si>
  <si>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</si>
  <si>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</si>
  <si>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</si>
  <si>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</si>
  <si>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</si>
  <si>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</si>
  <si>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</si>
  <si>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</si>
  <si>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</si>
  <si>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</si>
  <si>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</si>
  <si>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</si>
  <si>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</si>
  <si>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</si>
  <si>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</si>
  <si>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</si>
  <si>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</si>
  <si>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</si>
  <si>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</si>
  <si>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</si>
  <si>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</si>
  <si>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</si>
  <si>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</si>
  <si>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</si>
  <si>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</si>
  <si>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</si>
  <si>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</si>
  <si>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</si>
  <si>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</si>
  <si>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</si>
  <si>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</si>
  <si>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</si>
  <si>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</si>
  <si>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</si>
  <si>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</si>
  <si>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</si>
  <si>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</si>
  <si>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</si>
  <si>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</si>
  <si>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</si>
  <si>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</si>
  <si>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</si>
  <si>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</si>
  <si>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</si>
  <si>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</si>
  <si>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</si>
  <si>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Mira Mesa CIC, LP</t>
  </si>
  <si>
    <t>Mira Mesa</t>
  </si>
  <si>
    <t>San Diego Housing Commission</t>
  </si>
  <si>
    <t>Jennifer Kreutter</t>
  </si>
  <si>
    <t>1122 Broadway, Suite 300</t>
  </si>
  <si>
    <t>619-578-7709</t>
  </si>
  <si>
    <t>jenniferk@sdhc.org</t>
  </si>
  <si>
    <t>9999 Mira Mesa Blvd</t>
  </si>
  <si>
    <t>40%/60%</t>
  </si>
  <si>
    <t>6339 Paseo del Lago</t>
  </si>
  <si>
    <t>Carlsbad</t>
  </si>
  <si>
    <t>CA</t>
  </si>
  <si>
    <t>Cheri Hoffman</t>
  </si>
  <si>
    <t>760-456-6000</t>
  </si>
  <si>
    <t>760-456-6001</t>
  </si>
  <si>
    <t>cherihoffman@chelseainvestco.com</t>
  </si>
  <si>
    <t>Southern California Housing Collaborative</t>
  </si>
  <si>
    <t>Managing GP</t>
  </si>
  <si>
    <t>2400 Fenton St #206</t>
  </si>
  <si>
    <t>Chula Vista</t>
  </si>
  <si>
    <t>Nathan Schmid</t>
  </si>
  <si>
    <t>619-271-3535</t>
  </si>
  <si>
    <t>nathan@socalhc.org</t>
  </si>
  <si>
    <t>CIC Mira Mesa, LLC</t>
  </si>
  <si>
    <t>Administrative GP</t>
  </si>
  <si>
    <t>Chelsea Investment Corporation</t>
  </si>
  <si>
    <t>Developer, General Partner</t>
  </si>
  <si>
    <t>6339 Paseo Del Lago</t>
  </si>
  <si>
    <t>Carlsbad, CA 92011</t>
  </si>
  <si>
    <t>Bassenian Lagoni Architects</t>
  </si>
  <si>
    <t>2031 Orchard Dr # 100</t>
  </si>
  <si>
    <t>Newport Beach, CA 92660</t>
  </si>
  <si>
    <t>Mark Kiner</t>
  </si>
  <si>
    <t>Odu &amp; Associates</t>
  </si>
  <si>
    <t>31805 Temecula Parkway #720</t>
  </si>
  <si>
    <t>Temecula, CA 92592</t>
  </si>
  <si>
    <t>Nkechi Odu</t>
  </si>
  <si>
    <t>Emmerson Construction, Inc.</t>
  </si>
  <si>
    <t>Allen Eads</t>
  </si>
  <si>
    <t>Cox Castle &amp; Nicholson LLP</t>
  </si>
  <si>
    <t>50 California Street, Suite 3200</t>
  </si>
  <si>
    <t>San Francisco, CA 94111</t>
  </si>
  <si>
    <t>Ofer Elitzur</t>
  </si>
  <si>
    <t>Partner Energy</t>
  </si>
  <si>
    <t xml:space="preserve">680 Knox St., Suite 150 </t>
  </si>
  <si>
    <t>Los Angeles, CA 90502</t>
  </si>
  <si>
    <t>Kyle Brumfitt</t>
  </si>
  <si>
    <t>Novogradac</t>
  </si>
  <si>
    <t>211 East Ocean Blvd, Suite 600</t>
  </si>
  <si>
    <t>Long Beach, CA 90802</t>
  </si>
  <si>
    <t>Justin Chubb Lurya</t>
  </si>
  <si>
    <t>The Richman Group</t>
  </si>
  <si>
    <t>777 West Putnam Ave</t>
  </si>
  <si>
    <t>Greenwich, CT 06380</t>
  </si>
  <si>
    <t>Terry Gentry</t>
  </si>
  <si>
    <t>800-425-9503</t>
  </si>
  <si>
    <t>gentryt@richmancapital.com</t>
  </si>
  <si>
    <t>Kinetic Valuation Group, Inc.</t>
  </si>
  <si>
    <t>3901 S 147th Street, Suite 144</t>
  </si>
  <si>
    <t>Omaha, NE 68144</t>
  </si>
  <si>
    <t>Brent Griffiths</t>
  </si>
  <si>
    <t>402-270-4516</t>
  </si>
  <si>
    <t>brent@kvgteam.com</t>
  </si>
  <si>
    <t>California Housing Finance Agency</t>
  </si>
  <si>
    <t>500 Capitol Mall, Suite 400</t>
  </si>
  <si>
    <t>Sacramento, CA 95814</t>
  </si>
  <si>
    <t>Jessica McQueen</t>
  </si>
  <si>
    <t>916-326-8623</t>
  </si>
  <si>
    <t>jmcqueen@calhfa.ca.gov</t>
  </si>
  <si>
    <t>ConAm Management Corporation</t>
  </si>
  <si>
    <t>3990 Ruffin Road, Suite 100</t>
  </si>
  <si>
    <t>San Diego, CA 92123</t>
  </si>
  <si>
    <t>Wes Daniel</t>
  </si>
  <si>
    <t>858-614-7325</t>
  </si>
  <si>
    <t>wdaniel@conam.com</t>
  </si>
  <si>
    <t>562-256-5165</t>
  </si>
  <si>
    <t>562-432-9483</t>
  </si>
  <si>
    <t>justin.chubblurya@novoco.com</t>
  </si>
  <si>
    <t>415-262-5165</t>
  </si>
  <si>
    <t>415-262-5199</t>
  </si>
  <si>
    <t>oelitzur@coxcastle.com</t>
  </si>
  <si>
    <t>310-622-8854</t>
  </si>
  <si>
    <t>kbrumfitt@ptrenergy.com</t>
  </si>
  <si>
    <t>951-251-6212</t>
  </si>
  <si>
    <t>nkechi@odulaw.com</t>
  </si>
  <si>
    <t>714-955-9539</t>
  </si>
  <si>
    <t>mkiner@bassenianlagoni.com</t>
  </si>
  <si>
    <t>aeads@emmersonconstruction.com</t>
  </si>
  <si>
    <t>Executive Director</t>
  </si>
  <si>
    <t xml:space="preserve">2400 Fenton St #206, Chula Vista, CA </t>
  </si>
  <si>
    <t>Secured by Fee Interest</t>
  </si>
  <si>
    <t>Other (Specify below)</t>
  </si>
  <si>
    <t>CC-1-3, unlimited density per SDMC Ch14Art03Division10</t>
  </si>
  <si>
    <t>GP Loan</t>
  </si>
  <si>
    <t>Citibank, N.A.</t>
  </si>
  <si>
    <t>Variable</t>
  </si>
  <si>
    <t>Fixed</t>
  </si>
  <si>
    <t>Accrued Soft Interest</t>
  </si>
  <si>
    <t>Deferred Costs</t>
  </si>
  <si>
    <t>300 South Grand Ave Suite 3110</t>
  </si>
  <si>
    <t xml:space="preserve">Los Angeles, CA </t>
  </si>
  <si>
    <t>Hao Li</t>
  </si>
  <si>
    <t>213-239-1914</t>
  </si>
  <si>
    <t>Construction Loan</t>
  </si>
  <si>
    <t>1 mo term SOFR</t>
  </si>
  <si>
    <t>2400 Fenton St, #206</t>
  </si>
  <si>
    <t>Chula Vista, CA</t>
  </si>
  <si>
    <t>Equity</t>
  </si>
  <si>
    <t>Carlsbad, CA</t>
  </si>
  <si>
    <t>Deferred costs</t>
  </si>
  <si>
    <t>CIC Opportunities Fund IV, LLC</t>
  </si>
  <si>
    <t>The Richman Group-Solar Equity</t>
  </si>
  <si>
    <t>Subordinate Permanent Loan</t>
  </si>
  <si>
    <t>Los Angeles, CA</t>
  </si>
  <si>
    <t>Permanent Loan</t>
  </si>
  <si>
    <t>Late fees, etc</t>
  </si>
  <si>
    <t>Other Electric</t>
  </si>
  <si>
    <t>Equip, software, supplies, etc</t>
  </si>
  <si>
    <t>Taxes, Benefits, etc</t>
  </si>
  <si>
    <t>Contracts</t>
  </si>
  <si>
    <t>Other: Sponsor legal</t>
  </si>
  <si>
    <t>Other: Security, Lender reports</t>
  </si>
  <si>
    <t>Private Placement Junior Bond</t>
  </si>
  <si>
    <t>CIC Mira Mesa, LLC (Chelsea Investment Corporation)</t>
  </si>
  <si>
    <t>319-180-31-00</t>
  </si>
  <si>
    <t>Single building comprised of 2 levels Type I parking structure. 5 stories of residential units in a single Type III building on top of parking structure.</t>
  </si>
  <si>
    <t>Commerical Employment, Retail &amp; Services (Res. Affordable Allowed)</t>
  </si>
  <si>
    <t>78'</t>
  </si>
  <si>
    <t>No parking required 0 Transit Priority Area</t>
  </si>
  <si>
    <t>Citibank, N.A. - Tax Exempt Bonds, Recycled (CalHFA Issuer)</t>
  </si>
  <si>
    <t>Authorized Agent</t>
  </si>
  <si>
    <t>May</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</si>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</sst>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17184">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166" fontId="26" fillId="5" borderId="4"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17" fillId="0" borderId="0" xfId="0" applyFont="1" applyAlignment="1">
      <alignment horizontal="left" vertical="top" wrapText="1"/>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46" fillId="0" borderId="0" xfId="0" applyFont="1" applyAlignment="1">
      <alignment horizontal="left" vertical="top" wrapText="1"/>
    </xf>
    <xf numFmtId="0" fontId="17" fillId="0" borderId="0" xfId="0" applyFont="1" applyAlignment="1">
      <alignment horizontal="left" wrapText="1"/>
    </xf>
    <xf numFmtId="0" fontId="18" fillId="0" borderId="0" xfId="244" applyAlignment="1" applyProtection="1">
      <alignment horizontal="left"/>
    </xf>
    <xf numFmtId="0" fontId="113" fillId="0" borderId="0" xfId="0" applyFont="1" applyAlignment="1">
      <alignment horizontal="left" wrapText="1"/>
    </xf>
    <xf numFmtId="0" fontId="26" fillId="0" borderId="0" xfId="0" applyFont="1" applyAlignment="1">
      <alignment horizontal="left"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05" fillId="0" borderId="0" xfId="0" applyFont="1" applyAlignment="1">
      <alignment horizontal="left" vertical="top" wrapText="1"/>
    </xf>
    <xf numFmtId="0" fontId="18" fillId="0" borderId="0" xfId="244" applyAlignment="1">
      <alignment horizontal="left" vertical="top"/>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0" fontId="35" fillId="0" borderId="0" xfId="569" applyFont="1" applyAlignment="1">
      <alignment horizontal="left" vertical="top" wrapText="1"/>
    </xf>
    <xf numFmtId="0" fontId="24" fillId="0" borderId="4" xfId="569" applyFont="1" applyBorder="1" applyAlignment="1">
      <alignment horizontal="left"/>
    </xf>
    <xf numFmtId="4" fontId="17" fillId="0" borderId="0" xfId="1192" applyNumberFormat="1" applyAlignment="1">
      <alignment horizontal="left" vertical="top" wrapText="1"/>
    </xf>
    <xf numFmtId="49" fontId="17" fillId="0" borderId="0" xfId="0" applyNumberFormat="1" applyFont="1" applyAlignment="1">
      <alignment horizontal="left" vertical="top" wrapText="1"/>
    </xf>
    <xf numFmtId="0" fontId="17" fillId="0" borderId="0" xfId="569" applyAlignment="1">
      <alignment horizontal="left" vertical="top"/>
    </xf>
    <xf numFmtId="0" fontId="24" fillId="0" borderId="4" xfId="569" applyFont="1" applyBorder="1"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pplyProtection="1">
      <alignment horizontal="left" vertical="top" wrapText="1"/>
      <protection locked="0"/>
    </xf>
    <xf numFmtId="0" fontId="17" fillId="0" borderId="27" xfId="569" applyBorder="1" applyAlignment="1">
      <alignment horizontal="left"/>
    </xf>
    <xf numFmtId="0" fontId="17" fillId="0" borderId="0" xfId="1192"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24" fillId="0" borderId="0" xfId="569" applyFont="1" applyAlignment="1">
      <alignment horizontal="left"/>
    </xf>
    <xf numFmtId="0" fontId="35" fillId="0" borderId="0" xfId="1192" applyFont="1" applyAlignment="1">
      <alignment horizontal="left"/>
    </xf>
    <xf numFmtId="0" fontId="17" fillId="0" borderId="0" xfId="0"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49" fontId="17" fillId="0" borderId="0" xfId="1192" applyNumberFormat="1" applyAlignment="1">
      <alignment horizontal="left" vertical="top" wrapText="1"/>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0" fontId="17" fillId="0" borderId="0" xfId="569" applyAlignment="1">
      <alignment horizontal="left" vertical="center" wrapText="1"/>
    </xf>
    <xf numFmtId="4" fontId="17" fillId="0" borderId="0" xfId="569" applyNumberFormat="1" applyAlignment="1">
      <alignment horizontal="left" vertical="top" wrapText="1"/>
    </xf>
    <xf numFmtId="0" fontId="24" fillId="0" borderId="4" xfId="0" applyFont="1" applyBorder="1" applyAlignment="1">
      <alignment horizontal="left"/>
    </xf>
    <xf numFmtId="0" fontId="0" fillId="0" borderId="0" xfId="0" applyAlignment="1">
      <alignment horizontal="left" vertical="top" wrapText="1"/>
    </xf>
    <xf numFmtId="0" fontId="35" fillId="0" borderId="0" xfId="1192" applyFont="1" applyAlignment="1">
      <alignment horizontal="left" vertical="top" wrapText="1"/>
    </xf>
    <xf numFmtId="0" fontId="17" fillId="0" borderId="0" xfId="569" applyAlignment="1">
      <alignment vertical="top" wrapText="1"/>
    </xf>
    <xf numFmtId="0" fontId="35" fillId="0" borderId="0" xfId="0" applyFont="1" applyAlignment="1">
      <alignment horizontal="lef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17" fillId="0" borderId="0" xfId="0" quotePrefix="1" applyFont="1" applyAlignment="1">
      <alignment horizontal="lef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0" fontId="35" fillId="0" borderId="0" xfId="569" applyFont="1" applyAlignment="1">
      <alignment horizontal="left" vertical="top"/>
    </xf>
    <xf numFmtId="0" fontId="35" fillId="0" borderId="0" xfId="0" applyFont="1" applyAlignment="1">
      <alignment horizontal="left" vertical="top"/>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26" fillId="45" borderId="11" xfId="0" applyFont="1" applyFill="1" applyBorder="1" applyAlignment="1">
      <alignment horizontal="center"/>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0" fontId="17" fillId="0" borderId="11" xfId="0" applyFont="1" applyBorder="1" applyAlignment="1">
      <alignment horizontal="center"/>
    </xf>
    <xf numFmtId="0" fontId="2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6" fillId="0" borderId="11" xfId="0" applyNumberFormat="1" applyFont="1" applyBorder="1" applyAlignment="1">
      <alignment horizontal="center"/>
    </xf>
    <xf numFmtId="168" fontId="156" fillId="0" borderId="0" xfId="0" applyNumberFormat="1" applyFont="1" applyAlignment="1">
      <alignment horizontal="center" vertical="center" wrapText="1"/>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7" fillId="0" borderId="3" xfId="0" applyNumberFormat="1" applyFont="1" applyBorder="1" applyAlignment="1">
      <alignment horizontal="left" vertical="top"/>
    </xf>
    <xf numFmtId="0" fontId="26" fillId="5" borderId="11" xfId="0" applyFont="1" applyFill="1" applyBorder="1" applyAlignment="1" applyProtection="1">
      <alignment horizontal="center"/>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6" fillId="5" borderId="11" xfId="0" applyNumberFormat="1" applyFont="1" applyFill="1" applyBorder="1" applyAlignment="1" applyProtection="1">
      <alignment horizontal="center"/>
      <protection locked="0"/>
    </xf>
    <xf numFmtId="10" fontId="26" fillId="0" borderId="11" xfId="0" applyNumberFormat="1" applyFont="1" applyBorder="1" applyAlignment="1">
      <alignment horizontal="center"/>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4" fillId="0" borderId="6" xfId="0" applyFont="1" applyBorder="1" applyAlignment="1">
      <alignment horizontal="center"/>
    </xf>
    <xf numFmtId="0" fontId="24" fillId="0" borderId="10" xfId="0" applyFont="1"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vertical="center" wrapText="1"/>
      <protection locked="0"/>
    </xf>
    <xf numFmtId="0" fontId="17"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6" fillId="5" borderId="4" xfId="0" applyFon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6" fillId="5" borderId="11" xfId="0" quotePrefix="1" applyNumberFormat="1" applyFont="1" applyFill="1" applyBorder="1" applyAlignment="1" applyProtection="1">
      <alignment horizontal="center"/>
      <protection locked="0"/>
    </xf>
    <xf numFmtId="1" fontId="2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0" fontId="2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17" fillId="5" borderId="4" xfId="0" applyFont="1" applyFill="1" applyBorder="1" applyAlignment="1" applyProtection="1">
      <alignment wrapText="1"/>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6" fillId="5" borderId="4" xfId="0" applyNumberFormat="1" applyFont="1" applyFill="1" applyBorder="1" applyAlignment="1" applyProtection="1">
      <alignment horizontal="left"/>
      <protection locked="0"/>
    </xf>
    <xf numFmtId="0" fontId="17" fillId="0" borderId="11" xfId="543" applyBorder="1" applyAlignment="1">
      <alignment horizontal="center"/>
    </xf>
    <xf numFmtId="0" fontId="26" fillId="5" borderId="4" xfId="0" applyFont="1" applyFill="1" applyBorder="1" applyAlignment="1" applyProtection="1">
      <alignment wrapText="1"/>
      <protection locked="0"/>
    </xf>
    <xf numFmtId="0" fontId="17"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5" borderId="11" xfId="0" applyFont="1" applyFill="1" applyBorder="1" applyAlignment="1" applyProtection="1">
      <alignment horizontal="left" wrapText="1"/>
      <protection locked="0"/>
    </xf>
    <xf numFmtId="0" fontId="36"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7"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6" fontId="17" fillId="5" borderId="4" xfId="0" applyNumberFormat="1"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25" fillId="43" borderId="6" xfId="0"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6" fillId="5" borderId="6" xfId="0" applyFont="1" applyFill="1" applyBorder="1" applyAlignment="1" applyProtection="1">
      <alignment horizontal="left"/>
      <protection locked="0"/>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7" fillId="5" borderId="6" xfId="0" applyFont="1" applyFill="1" applyBorder="1" applyAlignment="1" applyProtection="1">
      <alignment horizontal="left"/>
      <protection locked="0"/>
    </xf>
    <xf numFmtId="1" fontId="26" fillId="5" borderId="6" xfId="0" applyNumberFormat="1" applyFont="1" applyFill="1" applyBorder="1" applyAlignment="1" applyProtection="1">
      <alignment horizontal="right"/>
      <protection locked="0"/>
    </xf>
    <xf numFmtId="0" fontId="17" fillId="43" borderId="6" xfId="0" applyFont="1" applyFill="1" applyBorder="1" applyAlignment="1" applyProtection="1">
      <alignment vertical="center"/>
      <protection locked="0"/>
    </xf>
    <xf numFmtId="0" fontId="23" fillId="3" borderId="0" xfId="0" applyFont="1" applyFill="1" applyAlignment="1">
      <alignment horizontal="center" vertical="center"/>
    </xf>
    <xf numFmtId="0" fontId="17" fillId="0" borderId="0" xfId="0" applyFont="1" applyAlignment="1">
      <alignment wrapText="1"/>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167" fontId="17" fillId="5" borderId="6"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66" fontId="17"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7" fillId="5" borderId="6" xfId="244" applyFont="1" applyFill="1" applyBorder="1" applyAlignment="1" applyProtection="1">
      <alignment horizontal="left"/>
      <protection locked="0"/>
    </xf>
    <xf numFmtId="173" fontId="0" fillId="5" borderId="6" xfId="0" applyNumberFormat="1" applyFill="1" applyBorder="1" applyAlignment="1" applyProtection="1">
      <alignment horizontal="center"/>
      <protection locked="0"/>
    </xf>
    <xf numFmtId="166" fontId="26" fillId="5" borderId="6" xfId="271" applyNumberFormat="1" applyFill="1" applyBorder="1" applyAlignment="1" applyProtection="1">
      <alignment horizontal="left"/>
      <protection locked="0"/>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0" fillId="0" borderId="0" xfId="0" applyAlignment="1">
      <alignment wrapText="1"/>
    </xf>
    <xf numFmtId="0" fontId="26" fillId="0" borderId="0" xfId="0" applyFont="1" applyAlignment="1">
      <alignment horizontal="left" vertical="top" wrapText="1"/>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center"/>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168" fontId="0" fillId="0" borderId="6" xfId="0" applyNumberFormat="1" applyBorder="1" applyAlignment="1">
      <alignment horizontal="center"/>
    </xf>
    <xf numFmtId="0" fontId="0" fillId="5" borderId="6" xfId="0" applyFill="1" applyBorder="1" applyProtection="1">
      <protection locked="0"/>
    </xf>
    <xf numFmtId="0" fontId="0" fillId="0" borderId="0" xfId="0" applyAlignment="1">
      <alignment vertical="top" wrapText="1"/>
    </xf>
    <xf numFmtId="0" fontId="17"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0" fillId="43" borderId="6" xfId="0" applyFill="1" applyBorder="1" applyAlignment="1" applyProtection="1">
      <alignment horizontal="center"/>
      <protection locked="0"/>
    </xf>
    <xf numFmtId="0" fontId="26" fillId="0" borderId="4" xfId="0" applyFont="1" applyBorder="1" applyAlignment="1" applyProtection="1">
      <alignment horizontal="left"/>
      <protection locked="0"/>
    </xf>
    <xf numFmtId="0" fontId="17" fillId="5" borderId="0" xfId="244"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9" fontId="0" fillId="43"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7" fillId="5" borderId="6" xfId="271" applyNumberFormat="1" applyFon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26" fillId="0" borderId="6" xfId="0" applyFont="1" applyBorder="1" applyAlignment="1">
      <alignment horizontal="left"/>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6" fillId="5" borderId="4" xfId="0" applyNumberFormat="1" applyFont="1" applyFill="1" applyBorder="1" applyAlignment="1" applyProtection="1">
      <alignment horizontal="right"/>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6" fillId="0" borderId="1" xfId="0" applyFont="1" applyBorder="1" applyAlignment="1">
      <alignment horizontal="center" vertical="top"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9" fontId="17" fillId="0" borderId="0" xfId="543" applyNumberFormat="1" applyAlignment="1">
      <alignment horizontal="center" vertical="center"/>
    </xf>
    <xf numFmtId="0" fontId="24"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6"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7" fillId="0" borderId="3" xfId="0" applyFont="1" applyBorder="1"/>
    <xf numFmtId="0" fontId="17" fillId="0" borderId="4" xfId="0" applyFont="1" applyBorder="1"/>
    <xf numFmtId="0" fontId="17"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7" fillId="0" borderId="0" xfId="543" applyAlignment="1">
      <alignment horizontal="center"/>
    </xf>
    <xf numFmtId="2" fontId="17"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6"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0" fontId="17" fillId="5" borderId="3"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171" fontId="17" fillId="0" borderId="0" xfId="543" applyNumberFormat="1" applyAlignment="1">
      <alignment horizontal="center"/>
    </xf>
    <xf numFmtId="171" fontId="17"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24" fillId="0" borderId="1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0" fontId="24"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4" fillId="0" borderId="2"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26"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7"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17" fillId="43" borderId="11" xfId="0" applyFont="1" applyFill="1" applyBorder="1" applyAlignment="1" applyProtection="1">
      <alignment horizontal="center"/>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24"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182" fontId="25"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4" fillId="0" borderId="12" xfId="0" applyFont="1" applyBorder="1" applyAlignment="1">
      <alignment horizontal="center" wrapText="1"/>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1" xfId="543" applyNumberFormat="1" applyBorder="1" applyAlignment="1">
      <alignment horizontal="center"/>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24" fillId="0" borderId="9" xfId="0" applyFont="1" applyBorder="1" applyAlignment="1">
      <alignment horizontal="right"/>
    </xf>
    <xf numFmtId="0" fontId="24" fillId="0" borderId="10" xfId="0" applyFont="1" applyBorder="1" applyAlignment="1">
      <alignment horizontal="right"/>
    </xf>
    <xf numFmtId="180" fontId="0" fillId="0" borderId="6" xfId="0" applyNumberFormat="1" applyBorder="1" applyAlignment="1">
      <alignment horizontal="center"/>
    </xf>
    <xf numFmtId="0" fontId="50"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horizontal="center" vertical="top"/>
    </xf>
    <xf numFmtId="168" fontId="26" fillId="0" borderId="6" xfId="0" applyNumberFormat="1" applyFont="1" applyBorder="1" applyAlignment="1">
      <alignment horizontal="center"/>
    </xf>
    <xf numFmtId="0" fontId="25"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26" fillId="0" borderId="0" xfId="543" applyFont="1" applyAlignment="1">
      <alignment horizontal="center"/>
    </xf>
    <xf numFmtId="0" fontId="17" fillId="0" borderId="0" xfId="0" applyFont="1" applyAlignment="1">
      <alignment vertical="center" wrapText="1"/>
    </xf>
    <xf numFmtId="0" fontId="17" fillId="0" borderId="0" xfId="543" applyAlignment="1">
      <alignment wrapText="1"/>
    </xf>
    <xf numFmtId="0" fontId="26" fillId="0" borderId="2" xfId="0" applyFont="1" applyBorder="1" applyAlignment="1">
      <alignment horizontal="left" vertical="top" wrapText="1"/>
    </xf>
    <xf numFmtId="177" fontId="26" fillId="5" borderId="6" xfId="0" applyNumberFormat="1" applyFont="1" applyFill="1" applyBorder="1" applyAlignment="1" applyProtection="1">
      <alignment horizontal="left" vertical="top" wrapText="1"/>
      <protection locked="0"/>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26" fillId="0" borderId="6" xfId="0" applyFont="1" applyBorder="1" applyAlignment="1">
      <alignment vertical="top" wrapText="1"/>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2" xfId="0" applyFont="1" applyBorder="1" applyAlignment="1">
      <alignment vertical="top" wrapText="1"/>
    </xf>
    <xf numFmtId="0" fontId="53" fillId="0" borderId="0" xfId="0" applyFont="1" applyAlignment="1">
      <alignmen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0" fontId="173" fillId="45" borderId="11" xfId="8733" applyFont="1" applyFill="1" applyBorder="1" applyAlignment="1">
      <alignment horizontal="right"/>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168" fontId="174" fillId="44" borderId="11" xfId="8734" applyNumberFormat="1" applyFont="1" applyFill="1" applyBorder="1" applyAlignment="1" applyProtection="1">
      <alignment horizontal="left"/>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1" fontId="177" fillId="48" borderId="70" xfId="8733" applyNumberFormat="1"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0" fontId="166" fillId="45" borderId="67"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45" borderId="72" xfId="8733" applyFont="1" applyFill="1" applyBorder="1" applyAlignment="1">
      <alignment horizontal="center"/>
    </xf>
    <xf numFmtId="0" fontId="173" fillId="45" borderId="11" xfId="8733"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0" fontId="172" fillId="48" borderId="11" xfId="8733" applyFont="1" applyFill="1" applyBorder="1" applyAlignment="1" applyProtection="1">
      <alignment horizontal="center"/>
      <protection locked="0"/>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9" fillId="48" borderId="74" xfId="8733" applyFont="1" applyFill="1" applyBorder="1" applyAlignment="1" applyProtection="1">
      <alignment horizontal="left"/>
      <protection locked="0"/>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4" fillId="48" borderId="11" xfId="700" applyNumberFormat="1" applyFont="1" applyFill="1" applyBorder="1" applyAlignment="1" applyProtection="1">
      <alignment horizontal="left"/>
      <protection locked="0"/>
    </xf>
    <xf numFmtId="168" fontId="174" fillId="48" borderId="76" xfId="700" applyNumberFormat="1" applyFont="1" applyFill="1" applyBorder="1" applyAlignment="1" applyProtection="1">
      <alignment horizontal="left"/>
      <protection locked="0"/>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72" fillId="48" borderId="72" xfId="8733" applyFont="1" applyFill="1" applyBorder="1" applyAlignment="1" applyProtection="1">
      <alignment horizontal="center"/>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173" fillId="45" borderId="11" xfId="8733" applyFont="1" applyFill="1" applyBorder="1" applyAlignment="1">
      <alignment horizontal="center" wrapText="1"/>
    </xf>
    <xf numFmtId="0" fontId="165" fillId="45" borderId="11" xfId="8733" applyFont="1" applyFill="1" applyBorder="1" applyAlignment="1">
      <alignment horizontal="center"/>
    </xf>
    <xf numFmtId="0" fontId="165" fillId="45" borderId="76" xfId="8733" applyFont="1" applyFill="1" applyBorder="1" applyAlignment="1">
      <alignment horizontal="center"/>
    </xf>
    <xf numFmtId="0" fontId="173" fillId="45" borderId="7" xfId="8733" applyFont="1" applyFill="1" applyBorder="1" applyAlignment="1">
      <alignment horizontal="left"/>
    </xf>
    <xf numFmtId="0" fontId="173" fillId="45" borderId="96"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02" fillId="45" borderId="7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7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4" fillId="48" borderId="11" xfId="8733" applyFont="1" applyFill="1" applyBorder="1" applyAlignment="1" applyProtection="1">
      <alignment horizontal="center"/>
      <protection locked="0"/>
    </xf>
    <xf numFmtId="14" fontId="172" fillId="48" borderId="11" xfId="8733" applyNumberFormat="1" applyFont="1" applyFill="1" applyBorder="1" applyAlignment="1" applyProtection="1">
      <alignment horizontal="center"/>
      <protection locked="0"/>
    </xf>
    <xf numFmtId="14" fontId="174" fillId="48" borderId="11" xfId="8733" applyNumberFormat="1" applyFont="1" applyFill="1" applyBorder="1" applyAlignment="1" applyProtection="1">
      <alignment horizontal="center"/>
      <protection locked="0"/>
    </xf>
    <xf numFmtId="0" fontId="102" fillId="45" borderId="76" xfId="8733" applyFont="1" applyFill="1" applyBorder="1" applyAlignment="1">
      <alignment horizontal="center"/>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5" fillId="48" borderId="11" xfId="8733" applyFont="1" applyFill="1" applyBorder="1" applyAlignment="1" applyProtection="1">
      <alignment horizontal="left"/>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168" fontId="172" fillId="48" borderId="11" xfId="700" applyNumberFormat="1" applyFont="1" applyFill="1" applyBorder="1" applyAlignment="1" applyProtection="1">
      <alignment horizontal="left"/>
      <protection locked="0"/>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7" borderId="0" xfId="8733" applyFont="1" applyFill="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2" fillId="44" borderId="11" xfId="700" applyNumberFormat="1" applyFont="1" applyFill="1" applyBorder="1" applyAlignment="1" applyProtection="1">
      <alignment horizontal="left"/>
      <protection locked="0"/>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174" fillId="48" borderId="11"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168" fontId="17" fillId="0" borderId="5" xfId="569" applyNumberFormat="1" applyBorder="1" applyAlignment="1">
      <alignment horizontal="center"/>
    </xf>
    <xf numFmtId="168" fontId="17" fillId="0" borderId="11" xfId="569" applyNumberFormat="1" applyBorder="1" applyAlignment="1">
      <alignment horizontal="center"/>
    </xf>
    <xf numFmtId="168" fontId="17" fillId="0" borderId="3" xfId="569" applyNumberFormat="1" applyBorder="1" applyAlignment="1">
      <alignment horizontal="center"/>
    </xf>
    <xf numFmtId="168" fontId="17" fillId="0" borderId="4" xfId="569" applyNumberFormat="1" applyBorder="1" applyAlignment="1">
      <alignment horizontal="center"/>
    </xf>
    <xf numFmtId="179" fontId="24" fillId="0" borderId="0" xfId="569" applyNumberFormat="1" applyFont="1" applyAlignment="1">
      <alignment horizontal="center" wrapText="1"/>
    </xf>
    <xf numFmtId="0" fontId="24" fillId="0" borderId="16" xfId="271" applyFont="1" applyBorder="1" applyAlignment="1">
      <alignment horizontal="center"/>
    </xf>
    <xf numFmtId="164" fontId="24" fillId="0" borderId="0" xfId="569" applyNumberFormat="1" applyFont="1" applyAlignment="1">
      <alignment horizontal="center"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53" fillId="0" borderId="0" xfId="569" applyFont="1" applyAlignment="1">
      <alignment horizontal="left"/>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9" fontId="17" fillId="0" borderId="5" xfId="569" applyNumberFormat="1" applyBorder="1" applyAlignment="1">
      <alignment horizontal="center"/>
    </xf>
    <xf numFmtId="9" fontId="17" fillId="0" borderId="11"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0" fontId="24" fillId="0" borderId="11" xfId="569" applyFont="1" applyBorder="1" applyAlignment="1">
      <alignment horizontal="center" wrapText="1"/>
    </xf>
    <xf numFmtId="168" fontId="17" fillId="0" borderId="7" xfId="569" applyNumberFormat="1" applyBorder="1" applyAlignment="1">
      <alignment horizontal="center"/>
    </xf>
    <xf numFmtId="168" fontId="17" fillId="0" borderId="15" xfId="569" applyNumberFormat="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0" borderId="11" xfId="569" applyNumberFormat="1" applyBorder="1" applyAlignment="1">
      <alignment horizontal="right"/>
    </xf>
    <xf numFmtId="0" fontId="24" fillId="0" borderId="6" xfId="569" applyFon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569" applyFont="1" applyAlignment="1">
      <alignment horizontal="left"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9" fontId="17" fillId="0" borderId="15" xfId="569" applyNumberFormat="1" applyBorder="1" applyAlignment="1">
      <alignment horizontal="center"/>
    </xf>
    <xf numFmtId="0" fontId="17" fillId="0" borderId="11" xfId="569" applyBorder="1" applyAlignment="1">
      <alignment horizontal="center"/>
    </xf>
    <xf numFmtId="0" fontId="107" fillId="0" borderId="0" xfId="0" applyFont="1" applyAlignment="1">
      <alignment horizontal="left" vertical="top" wrapText="1"/>
    </xf>
    <xf numFmtId="0" fontId="24" fillId="0" borderId="0" xfId="4495" applyFont="1" applyAlignment="1">
      <alignment horizontal="left" wrapText="1"/>
    </xf>
    <xf numFmtId="0" fontId="17" fillId="0" borderId="0" xfId="4495" applyFont="1" applyAlignment="1">
      <alignment wrapText="1"/>
    </xf>
    <xf numFmtId="0" fontId="17" fillId="0" borderId="0" xfId="4495" applyFont="1" applyAlignment="1">
      <alignment horizontal="left"/>
    </xf>
    <xf numFmtId="0" fontId="17" fillId="5" borderId="6" xfId="4495" applyFont="1" applyFill="1" applyBorder="1" applyAlignment="1" applyProtection="1">
      <alignment horizontal="center"/>
      <protection locked="0"/>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0" fontId="17" fillId="45" borderId="11" xfId="4495" applyFont="1" applyFill="1" applyBorder="1" applyAlignment="1">
      <alignment horizontal="center"/>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168" fontId="17" fillId="0" borderId="0" xfId="1192" applyNumberFormat="1" applyAlignment="1">
      <alignment horizontal="right"/>
    </xf>
    <xf numFmtId="0" fontId="142" fillId="0" borderId="0" xfId="1192" applyFont="1" applyAlignment="1">
      <alignment horizontal="center"/>
    </xf>
    <xf numFmtId="168" fontId="17" fillId="43" borderId="6" xfId="543" applyNumberFormat="1" applyFill="1" applyBorder="1" applyAlignment="1" applyProtection="1">
      <alignment horizontal="center"/>
      <protection locked="0"/>
    </xf>
    <xf numFmtId="168" fontId="17" fillId="5" borderId="4" xfId="1192" applyNumberFormat="1" applyFill="1" applyBorder="1" applyAlignment="1" applyProtection="1">
      <alignment horizontal="center"/>
      <protection locked="0"/>
    </xf>
    <xf numFmtId="4" fontId="25" fillId="0" borderId="6" xfId="4495" applyNumberFormat="1" applyFont="1" applyBorder="1" applyAlignment="1">
      <alignment horizontal="center"/>
    </xf>
    <xf numFmtId="1" fontId="17" fillId="5" borderId="2" xfId="1192" applyNumberFormat="1" applyFill="1" applyBorder="1" applyAlignment="1" applyProtection="1">
      <alignment horizontal="center"/>
      <protection locked="0"/>
    </xf>
    <xf numFmtId="168" fontId="17" fillId="0" borderId="6" xfId="1192" applyNumberFormat="1" applyBorder="1" applyAlignment="1">
      <alignment horizontal="right"/>
    </xf>
    <xf numFmtId="168" fontId="17" fillId="0" borderId="4" xfId="1192" applyNumberFormat="1" applyBorder="1" applyAlignment="1">
      <alignment horizontal="right"/>
    </xf>
    <xf numFmtId="4" fontId="25" fillId="0" borderId="0" xfId="4495" applyNumberFormat="1" applyFont="1" applyAlignment="1">
      <alignment horizontal="center"/>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168" fontId="17" fillId="0" borderId="6" xfId="4496" applyNumberFormat="1" applyFont="1" applyBorder="1" applyAlignment="1">
      <alignment horizontal="center"/>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58" xfId="4495" applyFont="1" applyBorder="1" applyAlignment="1">
      <alignment horizontal="left" vertical="top" wrapText="1"/>
    </xf>
    <xf numFmtId="10" fontId="25" fillId="0" borderId="2" xfId="4495" applyNumberFormat="1" applyFont="1" applyBorder="1" applyAlignment="1">
      <alignment horizontal="center"/>
    </xf>
    <xf numFmtId="0" fontId="25" fillId="0" borderId="0" xfId="4495" applyFont="1" applyAlignment="1">
      <alignment horizontal="center"/>
    </xf>
    <xf numFmtId="9" fontId="25" fillId="5" borderId="6" xfId="4495" applyNumberFormat="1" applyFont="1" applyFill="1" applyBorder="1" applyAlignment="1">
      <alignment horizontal="left"/>
    </xf>
    <xf numFmtId="0" fontId="130" fillId="0" borderId="0" xfId="4495" applyFont="1" applyAlignment="1">
      <alignment horizontal="left" vertical="top" wrapText="1"/>
    </xf>
    <xf numFmtId="0" fontId="33" fillId="42" borderId="2" xfId="4495" applyFont="1" applyFill="1" applyBorder="1" applyAlignment="1">
      <alignment horizontal="center"/>
    </xf>
    <xf numFmtId="0" fontId="33" fillId="42" borderId="6" xfId="4495" applyFont="1" applyFill="1" applyBorder="1" applyAlignment="1">
      <alignment horizontal="center"/>
    </xf>
    <xf numFmtId="0" fontId="24" fillId="0" borderId="11" xfId="4495" applyFont="1" applyBorder="1" applyAlignment="1">
      <alignment horizontal="center"/>
    </xf>
    <xf numFmtId="0" fontId="120" fillId="5" borderId="55" xfId="4495" applyFill="1" applyBorder="1" applyAlignment="1" applyProtection="1">
      <alignment horizontal="center"/>
      <protection locked="0"/>
    </xf>
    <xf numFmtId="0" fontId="120" fillId="5" borderId="6"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17" fillId="5" borderId="6" xfId="4495" applyFont="1" applyFill="1" applyBorder="1" applyAlignment="1" applyProtection="1">
      <alignment horizontal="center" vertical="center" wrapText="1" shrinkToFit="1"/>
      <protection locked="0"/>
    </xf>
    <xf numFmtId="0" fontId="118" fillId="0" borderId="4" xfId="1192" applyFont="1" applyBorder="1" applyAlignment="1">
      <alignment horizontal="left"/>
    </xf>
    <xf numFmtId="0" fontId="142" fillId="0" borderId="6" xfId="1192" applyFont="1" applyBorder="1" applyAlignment="1">
      <alignment horizontal="center"/>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0" fontId="120" fillId="0" borderId="0" xfId="4495" applyAlignment="1">
      <alignment horizontal="center"/>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24" fillId="0" borderId="0" xfId="4495" applyFont="1" applyAlignment="1">
      <alignment horizontal="right"/>
    </xf>
    <xf numFmtId="0" fontId="17" fillId="0" borderId="6" xfId="1192" applyBorder="1" applyAlignment="1">
      <alignment horizontal="right"/>
    </xf>
    <xf numFmtId="9" fontId="17" fillId="5" borderId="4" xfId="1192" applyNumberFormat="1" applyFill="1" applyBorder="1" applyAlignment="1" applyProtection="1">
      <alignment horizontal="left"/>
      <protection locked="0"/>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25" fillId="5" borderId="0" xfId="4495" applyFont="1" applyFill="1" applyAlignment="1">
      <alignment horizontal="left" vertical="top"/>
    </xf>
    <xf numFmtId="0" fontId="24" fillId="0" borderId="4" xfId="4495" applyFont="1" applyBorder="1" applyAlignment="1">
      <alignment horizontal="left"/>
    </xf>
    <xf numFmtId="0" fontId="24" fillId="0" borderId="5" xfId="4495" applyFont="1" applyBorder="1" applyAlignment="1">
      <alignment horizontal="left"/>
    </xf>
    <xf numFmtId="1" fontId="24" fillId="0" borderId="11" xfId="4495" applyNumberFormat="1" applyFont="1" applyBorder="1" applyAlignment="1">
      <alignment horizontal="center"/>
    </xf>
    <xf numFmtId="0" fontId="24" fillId="0" borderId="3" xfId="4495"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17" fillId="0" borderId="4" xfId="4495" applyFont="1" applyBorder="1" applyAlignment="1">
      <alignment horizontal="left"/>
    </xf>
    <xf numFmtId="0" fontId="17" fillId="0" borderId="5" xfId="4495" applyFont="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1" fontId="17" fillId="46" borderId="11" xfId="4495" applyNumberFormat="1" applyFont="1" applyFill="1" applyBorder="1" applyAlignment="1">
      <alignment horizontal="center"/>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1" fontId="24" fillId="0" borderId="4" xfId="4495" applyNumberFormat="1"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0" fontId="24" fillId="0" borderId="0" xfId="4495" applyFont="1" applyAlignment="1">
      <alignment horizontal="center" vertical="top"/>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53" fillId="0" borderId="51" xfId="4495" applyFont="1" applyBorder="1" applyAlignment="1">
      <alignment horizontal="left" wrapText="1"/>
    </xf>
    <xf numFmtId="0" fontId="53" fillId="0" borderId="0" xfId="4495" applyFont="1" applyAlignment="1">
      <alignment horizontal="left" wrapText="1"/>
    </xf>
    <xf numFmtId="0" fontId="24" fillId="0" borderId="54" xfId="4495" applyFont="1" applyBorder="1" applyAlignment="1">
      <alignment horizontal="center" vertical="top"/>
    </xf>
    <xf numFmtId="0" fontId="130" fillId="0" borderId="0" xfId="4495" applyFont="1" applyAlignment="1">
      <alignment horizontal="left" vertical="center" wrapText="1"/>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59" xfId="4495" applyFont="1" applyBorder="1" applyAlignment="1">
      <alignment horizontal="left" vertical="top" wrapText="1"/>
    </xf>
    <xf numFmtId="0" fontId="17" fillId="0" borderId="4" xfId="4496" applyFont="1" applyBorder="1" applyAlignment="1">
      <alignment horizontal="center"/>
    </xf>
    <xf numFmtId="0" fontId="17" fillId="0" borderId="5" xfId="4496" applyFont="1" applyBorder="1" applyAlignment="1">
      <alignment horizontal="center"/>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24" fillId="0" borderId="0" xfId="4495" applyFont="1" applyAlignment="1">
      <alignment horizontal="left" vertical="top"/>
    </xf>
    <xf numFmtId="0" fontId="120" fillId="0" borderId="0" xfId="4495" applyAlignment="1" applyProtection="1">
      <alignment horizontal="center"/>
      <protection locked="0"/>
    </xf>
    <xf numFmtId="9" fontId="17" fillId="0" borderId="4" xfId="543" applyNumberForma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168" fontId="17" fillId="43" borderId="6" xfId="4495" applyNumberFormat="1" applyFont="1" applyFill="1" applyBorder="1" applyAlignment="1" applyProtection="1">
      <alignment horizontal="right"/>
      <protection locked="0"/>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0" fontId="17" fillId="5" borderId="6" xfId="1192" applyFill="1" applyBorder="1" applyAlignment="1" applyProtection="1">
      <alignment horizontal="left"/>
      <protection locked="0"/>
    </xf>
    <xf numFmtId="165" fontId="17" fillId="0" borderId="0" xfId="1192" applyNumberFormat="1" applyAlignment="1">
      <alignment horizontal="right"/>
    </xf>
    <xf numFmtId="2" fontId="17" fillId="0" borderId="0" xfId="1192" applyNumberFormat="1" applyAlignment="1">
      <alignment horizontal="right"/>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25"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left"/>
      <protection locked="0"/>
    </xf>
    <xf numFmtId="0" fontId="53" fillId="5" borderId="6" xfId="4495" applyFont="1" applyFill="1" applyBorder="1" applyAlignment="1" applyProtection="1">
      <alignment horizontal="left"/>
      <protection locked="0"/>
    </xf>
    <xf numFmtId="0" fontId="17" fillId="44" borderId="6" xfId="4495" applyFont="1" applyFill="1" applyBorder="1" applyAlignment="1">
      <alignment horizontal="left"/>
    </xf>
    <xf numFmtId="0" fontId="17" fillId="0" borderId="0" xfId="1192" applyAlignment="1">
      <alignment horizontal="right"/>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4" xfId="1192" applyNumberFormat="1" applyFill="1" applyBorder="1" applyAlignment="1" applyProtection="1">
      <alignment horizontal="center"/>
      <protection locked="0"/>
    </xf>
    <xf numFmtId="0" fontId="17" fillId="0" borderId="6" xfId="1192" applyBorder="1" applyAlignment="1">
      <alignment horizontal="left"/>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0" fontId="122" fillId="5" borderId="6" xfId="4496" applyFont="1" applyFill="1" applyBorder="1" applyAlignment="1" applyProtection="1">
      <alignment horizontal="center"/>
      <protection locked="0"/>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165" fontId="122" fillId="0" borderId="60"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0" fontId="98" fillId="0" borderId="0" xfId="4496" applyFont="1" applyAlignment="1">
      <alignment wrapTex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168" fontId="98" fillId="0" borderId="13" xfId="4499" applyNumberFormat="1" applyFont="1" applyFill="1" applyBorder="1" applyAlignment="1" applyProtection="1">
      <alignment horizontal="left" vertical="center" indent="1"/>
    </xf>
    <xf numFmtId="168" fontId="98" fillId="0" borderId="11"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17184">
    <cellStyle name="20% - Accent1" xfId="1" builtinId="30" customBuiltin="1"/>
    <cellStyle name="20% - Accent1 10" xfId="4504" xr:uid="{00000000-0005-0000-0000-000001000000}"/>
    <cellStyle name="20% - Accent1 10 2" xfId="12954" xr:uid="{556D2E4D-A4C6-460E-AD64-95086C209EFF}"/>
    <cellStyle name="20% - Accent1 11" xfId="8736" xr:uid="{F8AFC226-2ECC-407B-AD47-3118BD510481}"/>
    <cellStyle name="20% - Accent1 2" xfId="2" xr:uid="{00000000-0005-0000-0000-000002000000}"/>
    <cellStyle name="20% - Accent1 2 10" xfId="8737" xr:uid="{BB05E01E-3ED3-4E31-BF7C-DE9CFC32D645}"/>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E9A20354-162C-4960-8465-6CF046FCBA0F}"/>
    <cellStyle name="20% - Accent1 2 2 2 2 2 3" xfId="11298" xr:uid="{8D46E15F-1DC1-49D0-85A8-CCEDE2D0ECF2}"/>
    <cellStyle name="20% - Accent1 2 2 2 2 3" xfId="4921" xr:uid="{00000000-0005-0000-0000-000008000000}"/>
    <cellStyle name="20% - Accent1 2 2 2 2 3 2" xfId="13371" xr:uid="{81A74898-BBE9-460F-9FE9-34518A079C8A}"/>
    <cellStyle name="20% - Accent1 2 2 2 2 4" xfId="9153" xr:uid="{D83DF3E9-2760-4926-ABD9-FD8ADE18F498}"/>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77A0BC22-CA68-4ACB-8DE6-C1B859F17B93}"/>
    <cellStyle name="20% - Accent1 2 2 2 3 2 3" xfId="11711" xr:uid="{0F8BB136-776D-4291-A57D-AE745D2BBD5A}"/>
    <cellStyle name="20% - Accent1 2 2 2 3 3" xfId="5334" xr:uid="{00000000-0005-0000-0000-00000C000000}"/>
    <cellStyle name="20% - Accent1 2 2 2 3 3 2" xfId="13784" xr:uid="{A80F13E8-8936-4096-8AF7-43BC53EEA070}"/>
    <cellStyle name="20% - Accent1 2 2 2 3 4" xfId="9566" xr:uid="{F854A59F-4FCE-44B6-B3E1-5029F0C45358}"/>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BDC94960-CCC7-461F-916A-F0ED2188EE58}"/>
    <cellStyle name="20% - Accent1 2 2 2 4 2 3" xfId="12124" xr:uid="{A9EAC42C-466A-4C4A-9E60-68B4B7B36BC4}"/>
    <cellStyle name="20% - Accent1 2 2 2 4 3" xfId="5747" xr:uid="{00000000-0005-0000-0000-000010000000}"/>
    <cellStyle name="20% - Accent1 2 2 2 4 3 2" xfId="14197" xr:uid="{E38343B2-5C60-49D2-8AF2-414C4BC82207}"/>
    <cellStyle name="20% - Accent1 2 2 2 4 4" xfId="9979" xr:uid="{DBCCB542-051A-4E2A-87F9-7CEF0D6AD244}"/>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DA2D9123-4032-4CCE-961A-C22775791B8F}"/>
    <cellStyle name="20% - Accent1 2 2 2 5 2 3" xfId="12537" xr:uid="{F1BDD334-B309-45E1-80BC-DC87ACB2DE9D}"/>
    <cellStyle name="20% - Accent1 2 2 2 5 3" xfId="6160" xr:uid="{00000000-0005-0000-0000-000014000000}"/>
    <cellStyle name="20% - Accent1 2 2 2 5 3 2" xfId="14610" xr:uid="{63FB056F-ACCF-47EC-A213-C96130EE9CC1}"/>
    <cellStyle name="20% - Accent1 2 2 2 5 4" xfId="10392" xr:uid="{E3A85534-CC84-4D8C-AABA-7F6CD7E7683A}"/>
    <cellStyle name="20% - Accent1 2 2 2 6" xfId="2267" xr:uid="{00000000-0005-0000-0000-000015000000}"/>
    <cellStyle name="20% - Accent1 2 2 2 6 2" xfId="6573" xr:uid="{00000000-0005-0000-0000-000016000000}"/>
    <cellStyle name="20% - Accent1 2 2 2 6 2 2" xfId="15023" xr:uid="{C8E592AD-3D65-47D2-BF49-310BDF66979A}"/>
    <cellStyle name="20% - Accent1 2 2 2 6 3" xfId="10805" xr:uid="{58B0B317-CBAD-4E9E-9CE4-97C0B324A0DA}"/>
    <cellStyle name="20% - Accent1 2 2 2 7" xfId="4507" xr:uid="{00000000-0005-0000-0000-000017000000}"/>
    <cellStyle name="20% - Accent1 2 2 2 7 2" xfId="12957" xr:uid="{B94BE7DD-440B-4352-A795-5C147B937A08}"/>
    <cellStyle name="20% - Accent1 2 2 2 8" xfId="8739" xr:uid="{E74E0D5A-B6EF-419E-9387-328229CBD23F}"/>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DAC23845-00D1-41BC-ACA6-65D5374B078E}"/>
    <cellStyle name="20% - Accent1 2 2 3 2 3" xfId="11297" xr:uid="{DC2C5EF6-7505-4466-94C1-1DB1EE130EBE}"/>
    <cellStyle name="20% - Accent1 2 2 3 3" xfId="4920" xr:uid="{00000000-0005-0000-0000-00001B000000}"/>
    <cellStyle name="20% - Accent1 2 2 3 3 2" xfId="13370" xr:uid="{668D85E7-FCD6-47B8-A226-6A9DA06F91D7}"/>
    <cellStyle name="20% - Accent1 2 2 3 4" xfId="9152" xr:uid="{36C5BD05-5872-4EB6-B6AF-459E7B032F06}"/>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EFAFC043-C134-43F0-90DB-2AECADCE9729}"/>
    <cellStyle name="20% - Accent1 2 2 4 2 3" xfId="11710" xr:uid="{FE5BCCDA-A2A4-4D33-82FC-CC99B900EA0B}"/>
    <cellStyle name="20% - Accent1 2 2 4 3" xfId="5333" xr:uid="{00000000-0005-0000-0000-00001F000000}"/>
    <cellStyle name="20% - Accent1 2 2 4 3 2" xfId="13783" xr:uid="{BDCDB6F6-704D-43F5-9B66-0D9E3299A8C0}"/>
    <cellStyle name="20% - Accent1 2 2 4 4" xfId="9565" xr:uid="{E9EBD0F4-9127-4F93-B5CB-C6BC083F301E}"/>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B8C314E0-CBE3-47A3-905E-F18983B20571}"/>
    <cellStyle name="20% - Accent1 2 2 5 2 3" xfId="12123" xr:uid="{29D5F679-190F-4BFB-B603-C69ABF40E1C3}"/>
    <cellStyle name="20% - Accent1 2 2 5 3" xfId="5746" xr:uid="{00000000-0005-0000-0000-000023000000}"/>
    <cellStyle name="20% - Accent1 2 2 5 3 2" xfId="14196" xr:uid="{2833BCEB-D137-4160-B45B-0B56A51C7EEF}"/>
    <cellStyle name="20% - Accent1 2 2 5 4" xfId="9978" xr:uid="{37516237-FA15-4F8D-91DC-239896DDEEAB}"/>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94BDEC6E-67A8-4D3F-87D3-4FBE6F73D36F}"/>
    <cellStyle name="20% - Accent1 2 2 6 2 3" xfId="12536" xr:uid="{B5C0A1FD-0E34-4DEA-85CE-F2BF07E745C5}"/>
    <cellStyle name="20% - Accent1 2 2 6 3" xfId="6159" xr:uid="{00000000-0005-0000-0000-000027000000}"/>
    <cellStyle name="20% - Accent1 2 2 6 3 2" xfId="14609" xr:uid="{4532A5ED-2598-40BA-8055-10273FF7FAC5}"/>
    <cellStyle name="20% - Accent1 2 2 6 4" xfId="10391" xr:uid="{B6355723-7FAD-4D99-89A4-7C73E506373F}"/>
    <cellStyle name="20% - Accent1 2 2 7" xfId="2266" xr:uid="{00000000-0005-0000-0000-000028000000}"/>
    <cellStyle name="20% - Accent1 2 2 7 2" xfId="6572" xr:uid="{00000000-0005-0000-0000-000029000000}"/>
    <cellStyle name="20% - Accent1 2 2 7 2 2" xfId="15022" xr:uid="{B2B7F183-8BA5-4DB5-B6B5-429B89B49B98}"/>
    <cellStyle name="20% - Accent1 2 2 7 3" xfId="10804" xr:uid="{C1A6C938-815D-4550-BF6E-6EBC2FD451B7}"/>
    <cellStyle name="20% - Accent1 2 2 8" xfId="4506" xr:uid="{00000000-0005-0000-0000-00002A000000}"/>
    <cellStyle name="20% - Accent1 2 2 8 2" xfId="12956" xr:uid="{05693168-DCBC-4F05-A11E-F47212043CEC}"/>
    <cellStyle name="20% - Accent1 2 2 9" xfId="8738" xr:uid="{95CFEEF1-0CC0-4935-A407-7152D921FBDF}"/>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325046B7-15E6-4051-9FDB-072F73CE8534}"/>
    <cellStyle name="20% - Accent1 2 3 2 2 3" xfId="11299" xr:uid="{D61C4D38-2768-449A-9FF4-79F23425D66B}"/>
    <cellStyle name="20% - Accent1 2 3 2 3" xfId="4922" xr:uid="{00000000-0005-0000-0000-00002F000000}"/>
    <cellStyle name="20% - Accent1 2 3 2 3 2" xfId="13372" xr:uid="{7E1A198A-3157-4D45-A84C-9C4D71D25BA8}"/>
    <cellStyle name="20% - Accent1 2 3 2 4" xfId="9154" xr:uid="{B66FB058-A803-4199-A910-B13472262473}"/>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4F1B55EE-1221-4FCB-ABBC-CC301D5AAE7E}"/>
    <cellStyle name="20% - Accent1 2 3 3 2 3" xfId="11712" xr:uid="{2168F564-5949-4349-8662-30C94E1FA974}"/>
    <cellStyle name="20% - Accent1 2 3 3 3" xfId="5335" xr:uid="{00000000-0005-0000-0000-000033000000}"/>
    <cellStyle name="20% - Accent1 2 3 3 3 2" xfId="13785" xr:uid="{B9F31703-D59F-4B9D-A7EC-5AB62FABEE4C}"/>
    <cellStyle name="20% - Accent1 2 3 3 4" xfId="9567" xr:uid="{07B3FCE4-806C-48EF-992D-FFBB1ED53DFC}"/>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BA272064-BCA9-45CE-875B-553DC58468B9}"/>
    <cellStyle name="20% - Accent1 2 3 4 2 3" xfId="12125" xr:uid="{B4BE4E61-97CE-4562-9A2F-A235CA913EC9}"/>
    <cellStyle name="20% - Accent1 2 3 4 3" xfId="5748" xr:uid="{00000000-0005-0000-0000-000037000000}"/>
    <cellStyle name="20% - Accent1 2 3 4 3 2" xfId="14198" xr:uid="{7A117516-5377-4657-8840-438A7B760B31}"/>
    <cellStyle name="20% - Accent1 2 3 4 4" xfId="9980" xr:uid="{8190637C-A8AE-487C-954D-E6D7C8AF60CF}"/>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B35043AC-7317-4B67-827E-2CB9771DFBD4}"/>
    <cellStyle name="20% - Accent1 2 3 5 2 3" xfId="12538" xr:uid="{22939934-5C78-43BB-8555-35CB9B0435D8}"/>
    <cellStyle name="20% - Accent1 2 3 5 3" xfId="6161" xr:uid="{00000000-0005-0000-0000-00003B000000}"/>
    <cellStyle name="20% - Accent1 2 3 5 3 2" xfId="14611" xr:uid="{9CA3D287-B324-48B1-814D-0133C42F3BBB}"/>
    <cellStyle name="20% - Accent1 2 3 5 4" xfId="10393" xr:uid="{3571BEBD-30FF-4F20-841B-BD6D57DCA42B}"/>
    <cellStyle name="20% - Accent1 2 3 6" xfId="2268" xr:uid="{00000000-0005-0000-0000-00003C000000}"/>
    <cellStyle name="20% - Accent1 2 3 6 2" xfId="6574" xr:uid="{00000000-0005-0000-0000-00003D000000}"/>
    <cellStyle name="20% - Accent1 2 3 6 2 2" xfId="15024" xr:uid="{0C12C6D8-A4F1-4F25-8705-E9706ACE4B36}"/>
    <cellStyle name="20% - Accent1 2 3 6 3" xfId="10806" xr:uid="{052D93D0-F14D-4D39-B750-D17142B99B68}"/>
    <cellStyle name="20% - Accent1 2 3 7" xfId="4508" xr:uid="{00000000-0005-0000-0000-00003E000000}"/>
    <cellStyle name="20% - Accent1 2 3 7 2" xfId="12958" xr:uid="{388380DA-9A9A-47DA-83F8-DDCAEECA2CEC}"/>
    <cellStyle name="20% - Accent1 2 3 8" xfId="8740" xr:uid="{699AEEC4-BBF7-4D1F-8CB1-5A5BDCEAF460}"/>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0EE420DF-F762-4767-B97D-A2C772D60963}"/>
    <cellStyle name="20% - Accent1 2 4 2 3" xfId="11296" xr:uid="{801C972C-FC6A-4CD4-B2AB-A85036BF650A}"/>
    <cellStyle name="20% - Accent1 2 4 3" xfId="4919" xr:uid="{00000000-0005-0000-0000-000042000000}"/>
    <cellStyle name="20% - Accent1 2 4 3 2" xfId="13369" xr:uid="{7B6A67C6-219C-4757-A2F2-C2FCFB0E2129}"/>
    <cellStyle name="20% - Accent1 2 4 4" xfId="9151" xr:uid="{32648471-D035-4B96-AF85-82EE122CF3B2}"/>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D09317E9-9680-44D0-BB42-0863326591DE}"/>
    <cellStyle name="20% - Accent1 2 5 2 3" xfId="11709" xr:uid="{7CDF54A2-EB32-4E63-B8FD-9568F6E3273E}"/>
    <cellStyle name="20% - Accent1 2 5 3" xfId="5332" xr:uid="{00000000-0005-0000-0000-000046000000}"/>
    <cellStyle name="20% - Accent1 2 5 3 2" xfId="13782" xr:uid="{564EEFE9-6EEE-4E8A-9C85-2251CCD2FF71}"/>
    <cellStyle name="20% - Accent1 2 5 4" xfId="9564" xr:uid="{2409E85C-EC89-478F-94E3-4E01F1E01DDD}"/>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3CB41E62-55D7-4DB6-A47E-BF4603677C29}"/>
    <cellStyle name="20% - Accent1 2 6 2 3" xfId="12122" xr:uid="{8FFB84AF-6846-4302-9DC5-52C1C912CE19}"/>
    <cellStyle name="20% - Accent1 2 6 3" xfId="5745" xr:uid="{00000000-0005-0000-0000-00004A000000}"/>
    <cellStyle name="20% - Accent1 2 6 3 2" xfId="14195" xr:uid="{3C3CBCE3-0DFC-4DD8-94ED-BF84114851C8}"/>
    <cellStyle name="20% - Accent1 2 6 4" xfId="9977" xr:uid="{71C570C1-7CCE-4502-884D-B47A9F278FCA}"/>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D96A773C-FCBD-4A9B-86FE-05A71EAFDEF8}"/>
    <cellStyle name="20% - Accent1 2 7 2 3" xfId="12535" xr:uid="{96F0CEBB-647A-4457-BD7C-986EC90ABB2C}"/>
    <cellStyle name="20% - Accent1 2 7 3" xfId="6158" xr:uid="{00000000-0005-0000-0000-00004E000000}"/>
    <cellStyle name="20% - Accent1 2 7 3 2" xfId="14608" xr:uid="{740DBD8F-9EF0-48B8-9475-1F2A867BE1CD}"/>
    <cellStyle name="20% - Accent1 2 7 4" xfId="10390" xr:uid="{6E001CAA-C61F-4486-9D41-C97B553CAA0C}"/>
    <cellStyle name="20% - Accent1 2 8" xfId="2265" xr:uid="{00000000-0005-0000-0000-00004F000000}"/>
    <cellStyle name="20% - Accent1 2 8 2" xfId="6571" xr:uid="{00000000-0005-0000-0000-000050000000}"/>
    <cellStyle name="20% - Accent1 2 8 2 2" xfId="15021" xr:uid="{7CF56A6D-5320-4AAF-94F2-461D529FE209}"/>
    <cellStyle name="20% - Accent1 2 8 3" xfId="10803" xr:uid="{4ADBB554-52C7-4045-8763-162910C7597A}"/>
    <cellStyle name="20% - Accent1 2 9" xfId="4505" xr:uid="{00000000-0005-0000-0000-000051000000}"/>
    <cellStyle name="20% - Accent1 2 9 2" xfId="12955" xr:uid="{5F42D6C9-FF69-47C0-ACAF-0AFE382FF37B}"/>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E962FEB2-6288-4274-8E88-B4F4BC821D27}"/>
    <cellStyle name="20% - Accent1 3 2 2 2 3" xfId="11301" xr:uid="{7979817A-CF57-4420-A23C-364827D2859D}"/>
    <cellStyle name="20% - Accent1 3 2 2 3" xfId="4924" xr:uid="{00000000-0005-0000-0000-000057000000}"/>
    <cellStyle name="20% - Accent1 3 2 2 3 2" xfId="13374" xr:uid="{3DEBFBEF-3059-4F21-89A3-D1DF5DCE8ADA}"/>
    <cellStyle name="20% - Accent1 3 2 2 4" xfId="9156" xr:uid="{1A29E3A0-78A9-4219-8566-A0C61933F261}"/>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C67D6670-DC1B-4F29-AE0A-5F216DB6B9A9}"/>
    <cellStyle name="20% - Accent1 3 2 3 2 3" xfId="11714" xr:uid="{8D5CA7D3-F150-416A-86D7-2478CC20D4E5}"/>
    <cellStyle name="20% - Accent1 3 2 3 3" xfId="5337" xr:uid="{00000000-0005-0000-0000-00005B000000}"/>
    <cellStyle name="20% - Accent1 3 2 3 3 2" xfId="13787" xr:uid="{AEAFF9D3-9A3E-4B2E-BE72-C26A1DCF49F6}"/>
    <cellStyle name="20% - Accent1 3 2 3 4" xfId="9569" xr:uid="{FB1EA006-6084-4CB4-8C1E-FB19FDECD27A}"/>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DE473C48-EB87-425B-9490-ED1D950051AB}"/>
    <cellStyle name="20% - Accent1 3 2 4 2 3" xfId="12127" xr:uid="{421A8057-97B7-4971-A925-1116E10B69FC}"/>
    <cellStyle name="20% - Accent1 3 2 4 3" xfId="5750" xr:uid="{00000000-0005-0000-0000-00005F000000}"/>
    <cellStyle name="20% - Accent1 3 2 4 3 2" xfId="14200" xr:uid="{807D6717-7066-409F-A385-D89A8CA49E0D}"/>
    <cellStyle name="20% - Accent1 3 2 4 4" xfId="9982" xr:uid="{0CC63C0F-7A74-433F-B56A-C915D3EF9F72}"/>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88DD1D12-E765-45C2-BB72-6B951C441108}"/>
    <cellStyle name="20% - Accent1 3 2 5 2 3" xfId="12540" xr:uid="{9A998DFF-8C48-4A1B-9C9C-1DA31E58C187}"/>
    <cellStyle name="20% - Accent1 3 2 5 3" xfId="6163" xr:uid="{00000000-0005-0000-0000-000063000000}"/>
    <cellStyle name="20% - Accent1 3 2 5 3 2" xfId="14613" xr:uid="{373A975D-1DAC-43BD-BEC5-E17B90C31006}"/>
    <cellStyle name="20% - Accent1 3 2 5 4" xfId="10395" xr:uid="{07D0B432-DF90-4197-AA21-5E8155481A79}"/>
    <cellStyle name="20% - Accent1 3 2 6" xfId="2270" xr:uid="{00000000-0005-0000-0000-000064000000}"/>
    <cellStyle name="20% - Accent1 3 2 6 2" xfId="6576" xr:uid="{00000000-0005-0000-0000-000065000000}"/>
    <cellStyle name="20% - Accent1 3 2 6 2 2" xfId="15026" xr:uid="{0FD05E63-317E-4674-A8D8-626E3E79AE1B}"/>
    <cellStyle name="20% - Accent1 3 2 6 3" xfId="10808" xr:uid="{FBEDE8D0-FD31-4144-8532-35A831503098}"/>
    <cellStyle name="20% - Accent1 3 2 7" xfId="4510" xr:uid="{00000000-0005-0000-0000-000066000000}"/>
    <cellStyle name="20% - Accent1 3 2 7 2" xfId="12960" xr:uid="{09F1793D-12D0-4E79-8FA7-D84879BA517E}"/>
    <cellStyle name="20% - Accent1 3 2 8" xfId="8742" xr:uid="{BF735BC7-1713-4B9E-9116-18A25736F362}"/>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558DCDF5-AFD2-4AB1-B43C-ADD5BA9FD6E6}"/>
    <cellStyle name="20% - Accent1 3 3 2 3" xfId="11300" xr:uid="{0561C7AE-037C-41A9-8A65-078D606A0483}"/>
    <cellStyle name="20% - Accent1 3 3 3" xfId="4923" xr:uid="{00000000-0005-0000-0000-00006A000000}"/>
    <cellStyle name="20% - Accent1 3 3 3 2" xfId="13373" xr:uid="{1816906C-6F14-4E81-837E-0B560F422615}"/>
    <cellStyle name="20% - Accent1 3 3 4" xfId="9155" xr:uid="{E2DCE137-8D8D-4FA7-851F-51E8FB20FA4A}"/>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58E1BC68-F28B-43F3-B5A4-C6D71E59FDFC}"/>
    <cellStyle name="20% - Accent1 3 4 2 3" xfId="11713" xr:uid="{186DA082-48F8-473E-810C-7E4BB3220C3E}"/>
    <cellStyle name="20% - Accent1 3 4 3" xfId="5336" xr:uid="{00000000-0005-0000-0000-00006E000000}"/>
    <cellStyle name="20% - Accent1 3 4 3 2" xfId="13786" xr:uid="{610CC615-2717-47BD-B1B2-EE7CA32E212A}"/>
    <cellStyle name="20% - Accent1 3 4 4" xfId="9568" xr:uid="{9661754E-7170-4F6F-90CC-8A35AE74C2A2}"/>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7F487014-0F4D-47E6-9A92-AA0567979B36}"/>
    <cellStyle name="20% - Accent1 3 5 2 3" xfId="12126" xr:uid="{95549743-6131-43BC-9F39-C7365E5D0BA3}"/>
    <cellStyle name="20% - Accent1 3 5 3" xfId="5749" xr:uid="{00000000-0005-0000-0000-000072000000}"/>
    <cellStyle name="20% - Accent1 3 5 3 2" xfId="14199" xr:uid="{06AF569B-594D-498E-A12A-2FB3275B7619}"/>
    <cellStyle name="20% - Accent1 3 5 4" xfId="9981" xr:uid="{B6AA1CA8-9513-44E6-BDFE-14F96AE2910A}"/>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D1C6E872-1711-452C-8CB1-441F5F88B503}"/>
    <cellStyle name="20% - Accent1 3 6 2 3" xfId="12539" xr:uid="{0F30CC5C-903F-424F-81AC-09A2E7B28E21}"/>
    <cellStyle name="20% - Accent1 3 6 3" xfId="6162" xr:uid="{00000000-0005-0000-0000-000076000000}"/>
    <cellStyle name="20% - Accent1 3 6 3 2" xfId="14612" xr:uid="{C3BB8B5E-DAC7-4C1D-AAA3-97F67AEF5E44}"/>
    <cellStyle name="20% - Accent1 3 6 4" xfId="10394" xr:uid="{031C3F40-E4F6-485E-8291-0F1A3AC83B18}"/>
    <cellStyle name="20% - Accent1 3 7" xfId="2269" xr:uid="{00000000-0005-0000-0000-000077000000}"/>
    <cellStyle name="20% - Accent1 3 7 2" xfId="6575" xr:uid="{00000000-0005-0000-0000-000078000000}"/>
    <cellStyle name="20% - Accent1 3 7 2 2" xfId="15025" xr:uid="{2159D7EA-2920-4D5E-B4E6-1BB0052C3340}"/>
    <cellStyle name="20% - Accent1 3 7 3" xfId="10807" xr:uid="{A13D2914-4A84-4D01-BF7D-2958E6F027A3}"/>
    <cellStyle name="20% - Accent1 3 8" xfId="4509" xr:uid="{00000000-0005-0000-0000-000079000000}"/>
    <cellStyle name="20% - Accent1 3 8 2" xfId="12959" xr:uid="{AF1BA0BE-E4F9-420C-A259-3D0E3910A2E6}"/>
    <cellStyle name="20% - Accent1 3 9" xfId="8741" xr:uid="{1B25EA22-3FA2-4CF4-BFCA-4645D9DC970A}"/>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1EFE806D-0469-439A-885F-A93521F0C7A1}"/>
    <cellStyle name="20% - Accent1 4 2 2 3" xfId="11302" xr:uid="{D118EAB4-1694-4ADD-BBB9-286669EDF493}"/>
    <cellStyle name="20% - Accent1 4 2 3" xfId="4925" xr:uid="{00000000-0005-0000-0000-00007E000000}"/>
    <cellStyle name="20% - Accent1 4 2 3 2" xfId="13375" xr:uid="{F6183A3C-9484-4608-97C8-291B0DA7866E}"/>
    <cellStyle name="20% - Accent1 4 2 4" xfId="9157" xr:uid="{AD2C0810-35D3-4ECB-9120-9BBACF76EC88}"/>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785B6956-A6B2-4554-A2EE-32E9B7758489}"/>
    <cellStyle name="20% - Accent1 4 3 2 3" xfId="11715" xr:uid="{8FC75109-B2A6-4227-9C88-FB9C56EE7836}"/>
    <cellStyle name="20% - Accent1 4 3 3" xfId="5338" xr:uid="{00000000-0005-0000-0000-000082000000}"/>
    <cellStyle name="20% - Accent1 4 3 3 2" xfId="13788" xr:uid="{915637C1-F01A-4C70-90E7-317A818FF521}"/>
    <cellStyle name="20% - Accent1 4 3 4" xfId="9570" xr:uid="{854D0E05-B485-4098-856E-6AD562984797}"/>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93F1DFF6-B90A-44F7-958E-CF372BEDFA8D}"/>
    <cellStyle name="20% - Accent1 4 4 2 3" xfId="12128" xr:uid="{1060951C-6042-421C-A852-A95FDC1E6FC1}"/>
    <cellStyle name="20% - Accent1 4 4 3" xfId="5751" xr:uid="{00000000-0005-0000-0000-000086000000}"/>
    <cellStyle name="20% - Accent1 4 4 3 2" xfId="14201" xr:uid="{BFCAA17B-A1AE-42DE-BAAD-CA711EE125F4}"/>
    <cellStyle name="20% - Accent1 4 4 4" xfId="9983" xr:uid="{F4C467B6-31B5-404B-864C-51125B81BE9A}"/>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E66E05AC-949E-4078-9350-5D7E65EC3E04}"/>
    <cellStyle name="20% - Accent1 4 5 2 3" xfId="12541" xr:uid="{61D5252B-C273-4BF7-8AA3-F847BA7D7149}"/>
    <cellStyle name="20% - Accent1 4 5 3" xfId="6164" xr:uid="{00000000-0005-0000-0000-00008A000000}"/>
    <cellStyle name="20% - Accent1 4 5 3 2" xfId="14614" xr:uid="{520E7BA7-1FE0-41D0-A736-B5B9A3E7A72E}"/>
    <cellStyle name="20% - Accent1 4 5 4" xfId="10396" xr:uid="{822EF04A-3394-47CD-8BD4-04A3FD3F5E7D}"/>
    <cellStyle name="20% - Accent1 4 6" xfId="2271" xr:uid="{00000000-0005-0000-0000-00008B000000}"/>
    <cellStyle name="20% - Accent1 4 6 2" xfId="6577" xr:uid="{00000000-0005-0000-0000-00008C000000}"/>
    <cellStyle name="20% - Accent1 4 6 2 2" xfId="15027" xr:uid="{0AAEBED0-3FD2-432F-BD2E-B3B2BA750408}"/>
    <cellStyle name="20% - Accent1 4 6 3" xfId="10809" xr:uid="{8EFB1FE6-BA92-4990-AF5D-172931B15323}"/>
    <cellStyle name="20% - Accent1 4 7" xfId="4511" xr:uid="{00000000-0005-0000-0000-00008D000000}"/>
    <cellStyle name="20% - Accent1 4 7 2" xfId="12961" xr:uid="{CB303D4F-974F-4E12-9C21-9FD99581DDA9}"/>
    <cellStyle name="20% - Accent1 4 8" xfId="8743" xr:uid="{0C0604CF-9F3B-45CE-94F3-CE37AB6D2E84}"/>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59737BFD-8754-4BE0-90B1-CF30079D43CB}"/>
    <cellStyle name="20% - Accent1 5 2 3" xfId="11295" xr:uid="{2E353795-B354-4814-9B71-D3D6E318F12D}"/>
    <cellStyle name="20% - Accent1 5 3" xfId="4918" xr:uid="{00000000-0005-0000-0000-000091000000}"/>
    <cellStyle name="20% - Accent1 5 3 2" xfId="13368" xr:uid="{2EBEEA61-B742-4370-9CE3-9E24E58D9F70}"/>
    <cellStyle name="20% - Accent1 5 4" xfId="9150" xr:uid="{BED807B3-FA01-425D-8A43-E6012F41FB82}"/>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00ED6566-C49F-4460-A3B0-EED749D67440}"/>
    <cellStyle name="20% - Accent1 6 2 3" xfId="11708" xr:uid="{8395D651-A594-4489-9303-454B3E025D40}"/>
    <cellStyle name="20% - Accent1 6 3" xfId="5331" xr:uid="{00000000-0005-0000-0000-000095000000}"/>
    <cellStyle name="20% - Accent1 6 3 2" xfId="13781" xr:uid="{C8BDB3E7-E266-4A6D-A5A0-313F2D35DDC8}"/>
    <cellStyle name="20% - Accent1 6 4" xfId="9563" xr:uid="{B60B4CD6-5C5C-4691-B53B-B89FACCC76F0}"/>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52A7E2FA-ACE0-4656-9DF5-3DF16D221A75}"/>
    <cellStyle name="20% - Accent1 7 2 3" xfId="12121" xr:uid="{9E4D3293-FA16-4A07-A3FE-E65C8908AF10}"/>
    <cellStyle name="20% - Accent1 7 3" xfId="5744" xr:uid="{00000000-0005-0000-0000-000099000000}"/>
    <cellStyle name="20% - Accent1 7 3 2" xfId="14194" xr:uid="{05B4759B-DB52-45F3-9850-CB4B0E61EE7B}"/>
    <cellStyle name="20% - Accent1 7 4" xfId="9976" xr:uid="{C06001B0-31D3-48D6-81C0-D3702E9B0BD9}"/>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186528C4-8B32-4D41-BD57-B9FF9AF2EC2E}"/>
    <cellStyle name="20% - Accent1 8 2 3" xfId="12534" xr:uid="{E84849A4-A132-4203-AA12-52B9CBD8E095}"/>
    <cellStyle name="20% - Accent1 8 3" xfId="6157" xr:uid="{00000000-0005-0000-0000-00009D000000}"/>
    <cellStyle name="20% - Accent1 8 3 2" xfId="14607" xr:uid="{4A291AB8-C9C8-4DA3-813E-114855168A77}"/>
    <cellStyle name="20% - Accent1 8 4" xfId="10389" xr:uid="{8FD87144-45F9-4193-AFEB-E8679224DDAA}"/>
    <cellStyle name="20% - Accent1 9" xfId="2264" xr:uid="{00000000-0005-0000-0000-00009E000000}"/>
    <cellStyle name="20% - Accent1 9 2" xfId="6570" xr:uid="{00000000-0005-0000-0000-00009F000000}"/>
    <cellStyle name="20% - Accent1 9 2 2" xfId="15020" xr:uid="{670C6DB4-0999-47B3-A9AC-55B32E86EB91}"/>
    <cellStyle name="20% - Accent1 9 3" xfId="10802" xr:uid="{E291ED0B-38B6-4BCD-AD8C-69D01C6D6910}"/>
    <cellStyle name="20% - Accent2" xfId="9" builtinId="34" customBuiltin="1"/>
    <cellStyle name="20% - Accent2 10" xfId="4512" xr:uid="{00000000-0005-0000-0000-0000A1000000}"/>
    <cellStyle name="20% - Accent2 10 2" xfId="12962" xr:uid="{FA9E9732-FE10-4493-8936-0DEEB324C65E}"/>
    <cellStyle name="20% - Accent2 11" xfId="8744" xr:uid="{A5A23CA5-1C2F-45B5-9794-3C5F124D40F0}"/>
    <cellStyle name="20% - Accent2 2" xfId="10" xr:uid="{00000000-0005-0000-0000-0000A2000000}"/>
    <cellStyle name="20% - Accent2 2 10" xfId="8745" xr:uid="{57FBA380-28D3-4CEF-B24E-44CF17E8DAB4}"/>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829C2E1D-3279-408E-BABF-6F7A4B3E7F5B}"/>
    <cellStyle name="20% - Accent2 2 2 2 2 2 3" xfId="11306" xr:uid="{56DE4AFB-CD7E-426D-9659-D6E8544660D9}"/>
    <cellStyle name="20% - Accent2 2 2 2 2 3" xfId="4929" xr:uid="{00000000-0005-0000-0000-0000A8000000}"/>
    <cellStyle name="20% - Accent2 2 2 2 2 3 2" xfId="13379" xr:uid="{7A00062D-FFDE-45B4-8631-F26593DD384C}"/>
    <cellStyle name="20% - Accent2 2 2 2 2 4" xfId="9161" xr:uid="{1CB34C0F-C8A2-4576-8460-CB456D7EDE35}"/>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17ECCF89-2C9E-4B7B-A112-B3F42CB62707}"/>
    <cellStyle name="20% - Accent2 2 2 2 3 2 3" xfId="11719" xr:uid="{A0A80E6E-58A2-451A-AD3A-053044A93A23}"/>
    <cellStyle name="20% - Accent2 2 2 2 3 3" xfId="5342" xr:uid="{00000000-0005-0000-0000-0000AC000000}"/>
    <cellStyle name="20% - Accent2 2 2 2 3 3 2" xfId="13792" xr:uid="{E6A08A8F-4E26-437D-9863-56ADF7E2AF73}"/>
    <cellStyle name="20% - Accent2 2 2 2 3 4" xfId="9574" xr:uid="{1A04AF21-61A0-4663-9FA7-B552CA0A4139}"/>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24DCB253-68DF-4E58-8FB1-6F34FCC9419C}"/>
    <cellStyle name="20% - Accent2 2 2 2 4 2 3" xfId="12132" xr:uid="{FCB8BC8B-EE52-463D-A414-4AD978C2072F}"/>
    <cellStyle name="20% - Accent2 2 2 2 4 3" xfId="5755" xr:uid="{00000000-0005-0000-0000-0000B0000000}"/>
    <cellStyle name="20% - Accent2 2 2 2 4 3 2" xfId="14205" xr:uid="{032FB069-F6F8-4CAF-A332-2BC371EAC952}"/>
    <cellStyle name="20% - Accent2 2 2 2 4 4" xfId="9987" xr:uid="{F8188BDE-0AB8-40FC-8ECA-0BB33C6A780F}"/>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B0468DB1-61FF-4D83-90DE-59831EA0C8F6}"/>
    <cellStyle name="20% - Accent2 2 2 2 5 2 3" xfId="12545" xr:uid="{FE5363C1-2715-45A1-AF47-7B0E99D49C81}"/>
    <cellStyle name="20% - Accent2 2 2 2 5 3" xfId="6168" xr:uid="{00000000-0005-0000-0000-0000B4000000}"/>
    <cellStyle name="20% - Accent2 2 2 2 5 3 2" xfId="14618" xr:uid="{C3BAC771-2C80-477D-B0D8-9DDD2D72DD18}"/>
    <cellStyle name="20% - Accent2 2 2 2 5 4" xfId="10400" xr:uid="{C0CDE1CB-A99A-49B8-8F0A-43437628A075}"/>
    <cellStyle name="20% - Accent2 2 2 2 6" xfId="2275" xr:uid="{00000000-0005-0000-0000-0000B5000000}"/>
    <cellStyle name="20% - Accent2 2 2 2 6 2" xfId="6581" xr:uid="{00000000-0005-0000-0000-0000B6000000}"/>
    <cellStyle name="20% - Accent2 2 2 2 6 2 2" xfId="15031" xr:uid="{24414B62-D95E-4D2C-B61F-28D815EF23C8}"/>
    <cellStyle name="20% - Accent2 2 2 2 6 3" xfId="10813" xr:uid="{62997A16-0753-4676-AA9D-C38D1736997A}"/>
    <cellStyle name="20% - Accent2 2 2 2 7" xfId="4515" xr:uid="{00000000-0005-0000-0000-0000B7000000}"/>
    <cellStyle name="20% - Accent2 2 2 2 7 2" xfId="12965" xr:uid="{F12E0CC5-F13A-4539-928A-050600DA8FF5}"/>
    <cellStyle name="20% - Accent2 2 2 2 8" xfId="8747" xr:uid="{600CBAC2-BDC8-443F-AF0D-838CA2087314}"/>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EFEC6CF5-18DD-477F-8158-6B52FC84E605}"/>
    <cellStyle name="20% - Accent2 2 2 3 2 3" xfId="11305" xr:uid="{1DF93BF8-766D-45C4-863C-1F929E899DCE}"/>
    <cellStyle name="20% - Accent2 2 2 3 3" xfId="4928" xr:uid="{00000000-0005-0000-0000-0000BB000000}"/>
    <cellStyle name="20% - Accent2 2 2 3 3 2" xfId="13378" xr:uid="{B9C5B295-25A6-44EA-94DE-7055508262AD}"/>
    <cellStyle name="20% - Accent2 2 2 3 4" xfId="9160" xr:uid="{E5D36C22-D3B3-47A8-9AFC-9F436720EFDC}"/>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97B69495-B403-4BF2-8E29-94DAA426A05F}"/>
    <cellStyle name="20% - Accent2 2 2 4 2 3" xfId="11718" xr:uid="{3CAD2926-1FC7-4857-B1B3-E113E94046AB}"/>
    <cellStyle name="20% - Accent2 2 2 4 3" xfId="5341" xr:uid="{00000000-0005-0000-0000-0000BF000000}"/>
    <cellStyle name="20% - Accent2 2 2 4 3 2" xfId="13791" xr:uid="{5585DBA4-E7B0-42AF-82E7-DBC1C2AB8E14}"/>
    <cellStyle name="20% - Accent2 2 2 4 4" xfId="9573" xr:uid="{DC41C277-FB6B-4608-A62D-351FB3170BC0}"/>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7948D5D4-0A36-44B0-946E-09FA27B08A22}"/>
    <cellStyle name="20% - Accent2 2 2 5 2 3" xfId="12131" xr:uid="{8C28007C-6140-4233-BCE3-65AD75574D2F}"/>
    <cellStyle name="20% - Accent2 2 2 5 3" xfId="5754" xr:uid="{00000000-0005-0000-0000-0000C3000000}"/>
    <cellStyle name="20% - Accent2 2 2 5 3 2" xfId="14204" xr:uid="{369C7CC7-81A1-4679-9F18-1A8DD472A452}"/>
    <cellStyle name="20% - Accent2 2 2 5 4" xfId="9986" xr:uid="{B25DA45A-1C40-4776-A64C-209F3BCF9354}"/>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FF85DE21-24DA-4640-95BA-127F48A20F61}"/>
    <cellStyle name="20% - Accent2 2 2 6 2 3" xfId="12544" xr:uid="{3C97191C-8611-4E81-83E3-F1656A615CD6}"/>
    <cellStyle name="20% - Accent2 2 2 6 3" xfId="6167" xr:uid="{00000000-0005-0000-0000-0000C7000000}"/>
    <cellStyle name="20% - Accent2 2 2 6 3 2" xfId="14617" xr:uid="{D0AC5277-2A43-4CD3-B3B6-3E7BE07EBE0A}"/>
    <cellStyle name="20% - Accent2 2 2 6 4" xfId="10399" xr:uid="{B8630289-B76E-444C-A0AA-A084EBEA733E}"/>
    <cellStyle name="20% - Accent2 2 2 7" xfId="2274" xr:uid="{00000000-0005-0000-0000-0000C8000000}"/>
    <cellStyle name="20% - Accent2 2 2 7 2" xfId="6580" xr:uid="{00000000-0005-0000-0000-0000C9000000}"/>
    <cellStyle name="20% - Accent2 2 2 7 2 2" xfId="15030" xr:uid="{6B77F289-3AC9-49BC-9968-5FD839EB2410}"/>
    <cellStyle name="20% - Accent2 2 2 7 3" xfId="10812" xr:uid="{BEAC1B84-8580-45E2-A969-990BAF2F4EF0}"/>
    <cellStyle name="20% - Accent2 2 2 8" xfId="4514" xr:uid="{00000000-0005-0000-0000-0000CA000000}"/>
    <cellStyle name="20% - Accent2 2 2 8 2" xfId="12964" xr:uid="{883ABB34-0B4F-46AF-8252-1F8A0D825194}"/>
    <cellStyle name="20% - Accent2 2 2 9" xfId="8746" xr:uid="{A8F78338-9B41-486A-9517-AE2FAE5985DA}"/>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EEF496D9-7025-4536-B968-337A9E32AC1B}"/>
    <cellStyle name="20% - Accent2 2 3 2 2 3" xfId="11307" xr:uid="{D9ABAEA2-9325-462C-8A3B-0CCB886E8992}"/>
    <cellStyle name="20% - Accent2 2 3 2 3" xfId="4930" xr:uid="{00000000-0005-0000-0000-0000CF000000}"/>
    <cellStyle name="20% - Accent2 2 3 2 3 2" xfId="13380" xr:uid="{3E56F504-D5E4-414C-9287-C29D6FB784EC}"/>
    <cellStyle name="20% - Accent2 2 3 2 4" xfId="9162" xr:uid="{5E7032D2-FA36-4D39-879C-EB5338FA384C}"/>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F1F13E18-C3F9-472B-AB60-A1F4576B18F5}"/>
    <cellStyle name="20% - Accent2 2 3 3 2 3" xfId="11720" xr:uid="{FFF3E3B0-D19F-402A-9358-DBD85D40FCD1}"/>
    <cellStyle name="20% - Accent2 2 3 3 3" xfId="5343" xr:uid="{00000000-0005-0000-0000-0000D3000000}"/>
    <cellStyle name="20% - Accent2 2 3 3 3 2" xfId="13793" xr:uid="{911252D5-E411-4C65-B04E-2D71E6B2512F}"/>
    <cellStyle name="20% - Accent2 2 3 3 4" xfId="9575" xr:uid="{7085D792-9429-4131-BCF0-A8A59DC47501}"/>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58681903-074D-4015-B353-1B4040D638BD}"/>
    <cellStyle name="20% - Accent2 2 3 4 2 3" xfId="12133" xr:uid="{8ED840DE-CCB4-4936-89C6-B19A4C207E1A}"/>
    <cellStyle name="20% - Accent2 2 3 4 3" xfId="5756" xr:uid="{00000000-0005-0000-0000-0000D7000000}"/>
    <cellStyle name="20% - Accent2 2 3 4 3 2" xfId="14206" xr:uid="{6325C123-70C0-467E-9782-FAF351870346}"/>
    <cellStyle name="20% - Accent2 2 3 4 4" xfId="9988" xr:uid="{DC2F0D07-D17F-41C6-A200-90EE91704DFF}"/>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E352FC3D-20C5-4117-8367-F44A19021897}"/>
    <cellStyle name="20% - Accent2 2 3 5 2 3" xfId="12546" xr:uid="{95F0B252-17C1-4636-9369-A256EC8F735A}"/>
    <cellStyle name="20% - Accent2 2 3 5 3" xfId="6169" xr:uid="{00000000-0005-0000-0000-0000DB000000}"/>
    <cellStyle name="20% - Accent2 2 3 5 3 2" xfId="14619" xr:uid="{B375ADA2-9501-4D46-B769-BC681E89C9EC}"/>
    <cellStyle name="20% - Accent2 2 3 5 4" xfId="10401" xr:uid="{C524AD3C-C49C-4A07-B6B9-D1974DAB8676}"/>
    <cellStyle name="20% - Accent2 2 3 6" xfId="2276" xr:uid="{00000000-0005-0000-0000-0000DC000000}"/>
    <cellStyle name="20% - Accent2 2 3 6 2" xfId="6582" xr:uid="{00000000-0005-0000-0000-0000DD000000}"/>
    <cellStyle name="20% - Accent2 2 3 6 2 2" xfId="15032" xr:uid="{1BF31419-B351-4DC1-93D9-D4A8A3894318}"/>
    <cellStyle name="20% - Accent2 2 3 6 3" xfId="10814" xr:uid="{74B02A1A-B928-4245-9540-735289A9DF51}"/>
    <cellStyle name="20% - Accent2 2 3 7" xfId="4516" xr:uid="{00000000-0005-0000-0000-0000DE000000}"/>
    <cellStyle name="20% - Accent2 2 3 7 2" xfId="12966" xr:uid="{E5F96DE4-FFFC-4299-9EA8-B1BEA3FB3361}"/>
    <cellStyle name="20% - Accent2 2 3 8" xfId="8748" xr:uid="{776BF38F-A809-44EB-8FEF-E4F194702663}"/>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9BEB6B3A-AB5F-49F7-B293-9CC9F6F867D1}"/>
    <cellStyle name="20% - Accent2 2 4 2 3" xfId="11304" xr:uid="{B18E6053-6CEC-4A90-AD31-6A3B367EDC1B}"/>
    <cellStyle name="20% - Accent2 2 4 3" xfId="4927" xr:uid="{00000000-0005-0000-0000-0000E2000000}"/>
    <cellStyle name="20% - Accent2 2 4 3 2" xfId="13377" xr:uid="{315CD9C8-BFA2-4139-8C39-7D5DD46E37AA}"/>
    <cellStyle name="20% - Accent2 2 4 4" xfId="9159" xr:uid="{B85F1599-ECA6-4A75-9BC6-EC82F072DEF2}"/>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A62E0D6D-5F7A-4F3B-A85D-3BD3CA74A866}"/>
    <cellStyle name="20% - Accent2 2 5 2 3" xfId="11717" xr:uid="{4E462F1A-8D17-4CA3-B6E9-1C0ED900C14C}"/>
    <cellStyle name="20% - Accent2 2 5 3" xfId="5340" xr:uid="{00000000-0005-0000-0000-0000E6000000}"/>
    <cellStyle name="20% - Accent2 2 5 3 2" xfId="13790" xr:uid="{478278CF-D018-44F0-8FBC-8C7DC4F8C844}"/>
    <cellStyle name="20% - Accent2 2 5 4" xfId="9572" xr:uid="{B2B7AF91-48B5-4F7A-9608-7F7F0B83541A}"/>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2915906A-9E66-412F-89EC-7B8307C3DF68}"/>
    <cellStyle name="20% - Accent2 2 6 2 3" xfId="12130" xr:uid="{A7520A6F-B859-42BA-92EA-AE1C071ABFB0}"/>
    <cellStyle name="20% - Accent2 2 6 3" xfId="5753" xr:uid="{00000000-0005-0000-0000-0000EA000000}"/>
    <cellStyle name="20% - Accent2 2 6 3 2" xfId="14203" xr:uid="{C2406081-E44F-4E5B-A371-72F92DCAF6ED}"/>
    <cellStyle name="20% - Accent2 2 6 4" xfId="9985" xr:uid="{ED0FA8A3-0ADD-4E45-B9DE-CE6B8E36CCEB}"/>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04CAAA1D-4214-49D8-9272-C243B8F97C12}"/>
    <cellStyle name="20% - Accent2 2 7 2 3" xfId="12543" xr:uid="{DBB7F7A1-C38A-4A33-8642-77DEBC72A154}"/>
    <cellStyle name="20% - Accent2 2 7 3" xfId="6166" xr:uid="{00000000-0005-0000-0000-0000EE000000}"/>
    <cellStyle name="20% - Accent2 2 7 3 2" xfId="14616" xr:uid="{88255C75-E531-4286-A856-6B1574172E40}"/>
    <cellStyle name="20% - Accent2 2 7 4" xfId="10398" xr:uid="{8361EC49-FD03-462B-B5F4-49CF6EF90908}"/>
    <cellStyle name="20% - Accent2 2 8" xfId="2273" xr:uid="{00000000-0005-0000-0000-0000EF000000}"/>
    <cellStyle name="20% - Accent2 2 8 2" xfId="6579" xr:uid="{00000000-0005-0000-0000-0000F0000000}"/>
    <cellStyle name="20% - Accent2 2 8 2 2" xfId="15029" xr:uid="{8862D267-EEB7-465D-943C-7F24D951D64B}"/>
    <cellStyle name="20% - Accent2 2 8 3" xfId="10811" xr:uid="{4FBC481E-91F4-4D4D-94B1-18BDF786AADC}"/>
    <cellStyle name="20% - Accent2 2 9" xfId="4513" xr:uid="{00000000-0005-0000-0000-0000F1000000}"/>
    <cellStyle name="20% - Accent2 2 9 2" xfId="12963" xr:uid="{041C5AD3-2C9B-4D43-8492-5532EC2DAB34}"/>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6D5A6ADC-9219-4E4E-99A5-B5D20DA4810E}"/>
    <cellStyle name="20% - Accent2 3 2 2 2 3" xfId="11309" xr:uid="{455302D7-6E36-4DEA-97D2-3F1EB735D892}"/>
    <cellStyle name="20% - Accent2 3 2 2 3" xfId="4932" xr:uid="{00000000-0005-0000-0000-0000F7000000}"/>
    <cellStyle name="20% - Accent2 3 2 2 3 2" xfId="13382" xr:uid="{FDFF2D1D-B542-4559-A428-E00A65614822}"/>
    <cellStyle name="20% - Accent2 3 2 2 4" xfId="9164" xr:uid="{5FBDB66B-9799-4AE0-83D9-D5E0FA00D667}"/>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F75A7421-0B7C-4CDD-833D-9F49B30C167E}"/>
    <cellStyle name="20% - Accent2 3 2 3 2 3" xfId="11722" xr:uid="{0F46C869-0000-4401-9DC2-ECD6AC78BA3B}"/>
    <cellStyle name="20% - Accent2 3 2 3 3" xfId="5345" xr:uid="{00000000-0005-0000-0000-0000FB000000}"/>
    <cellStyle name="20% - Accent2 3 2 3 3 2" xfId="13795" xr:uid="{06A40CE4-78E6-4527-A7B0-A9998E9C40F3}"/>
    <cellStyle name="20% - Accent2 3 2 3 4" xfId="9577" xr:uid="{B6524AC6-2EBD-4A61-AB40-ED2098987EAB}"/>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51797E65-267E-481B-962D-6288D19C3F1F}"/>
    <cellStyle name="20% - Accent2 3 2 4 2 3" xfId="12135" xr:uid="{EDA05485-8CF3-4D94-B240-46FAAC6EB50B}"/>
    <cellStyle name="20% - Accent2 3 2 4 3" xfId="5758" xr:uid="{00000000-0005-0000-0000-0000FF000000}"/>
    <cellStyle name="20% - Accent2 3 2 4 3 2" xfId="14208" xr:uid="{E301BED2-CE80-420E-86D7-F6278DA70B39}"/>
    <cellStyle name="20% - Accent2 3 2 4 4" xfId="9990" xr:uid="{7AD65CB9-699B-44F3-8EB7-6D52E895E936}"/>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BDCED08A-EF5B-430F-B564-41DB81BD16B0}"/>
    <cellStyle name="20% - Accent2 3 2 5 2 3" xfId="12548" xr:uid="{FDD8413B-DBCF-4765-AE4A-A9B10E8B35EB}"/>
    <cellStyle name="20% - Accent2 3 2 5 3" xfId="6171" xr:uid="{00000000-0005-0000-0000-000003010000}"/>
    <cellStyle name="20% - Accent2 3 2 5 3 2" xfId="14621" xr:uid="{D6772B5C-A1CE-487D-BDFD-ABF91D3BA5CB}"/>
    <cellStyle name="20% - Accent2 3 2 5 4" xfId="10403" xr:uid="{C2B55802-1EDC-41E9-920F-B4C09B4EBBE0}"/>
    <cellStyle name="20% - Accent2 3 2 6" xfId="2278" xr:uid="{00000000-0005-0000-0000-000004010000}"/>
    <cellStyle name="20% - Accent2 3 2 6 2" xfId="6584" xr:uid="{00000000-0005-0000-0000-000005010000}"/>
    <cellStyle name="20% - Accent2 3 2 6 2 2" xfId="15034" xr:uid="{D0DF5CCC-8692-4748-92CC-DD7BD69BEFA8}"/>
    <cellStyle name="20% - Accent2 3 2 6 3" xfId="10816" xr:uid="{6B4DBBF9-0DAA-429C-967A-715C28662EDC}"/>
    <cellStyle name="20% - Accent2 3 2 7" xfId="4518" xr:uid="{00000000-0005-0000-0000-000006010000}"/>
    <cellStyle name="20% - Accent2 3 2 7 2" xfId="12968" xr:uid="{E29F7413-F14A-46FD-B943-CAE7F8CAFF26}"/>
    <cellStyle name="20% - Accent2 3 2 8" xfId="8750" xr:uid="{065F4209-D3D0-46B8-BC9B-393AD2F87A7A}"/>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3616DF65-7EAF-43C0-B8E4-094C65FFF841}"/>
    <cellStyle name="20% - Accent2 3 3 2 3" xfId="11308" xr:uid="{60D6EDF0-3BC9-45F2-A759-43F48104B9F1}"/>
    <cellStyle name="20% - Accent2 3 3 3" xfId="4931" xr:uid="{00000000-0005-0000-0000-00000A010000}"/>
    <cellStyle name="20% - Accent2 3 3 3 2" xfId="13381" xr:uid="{F7332AD1-A2ED-483E-8A5F-C9FE03BE8E3A}"/>
    <cellStyle name="20% - Accent2 3 3 4" xfId="9163" xr:uid="{23FF6C1F-C1AF-47C5-AAF0-FFC3AE87200A}"/>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0321510D-B06E-4994-A1D3-E0CB6078B2E7}"/>
    <cellStyle name="20% - Accent2 3 4 2 3" xfId="11721" xr:uid="{0A32CAAA-D921-4451-BC4E-AF6709069EA7}"/>
    <cellStyle name="20% - Accent2 3 4 3" xfId="5344" xr:uid="{00000000-0005-0000-0000-00000E010000}"/>
    <cellStyle name="20% - Accent2 3 4 3 2" xfId="13794" xr:uid="{07A70377-D16D-483D-9E5C-4A53D049F610}"/>
    <cellStyle name="20% - Accent2 3 4 4" xfId="9576" xr:uid="{4360910F-914F-449C-8386-3A945A4ED525}"/>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9EE20D1C-1959-4DC8-9C9F-79AD679E16AC}"/>
    <cellStyle name="20% - Accent2 3 5 2 3" xfId="12134" xr:uid="{2DCBDE4D-32D0-438F-92D9-5890552BB733}"/>
    <cellStyle name="20% - Accent2 3 5 3" xfId="5757" xr:uid="{00000000-0005-0000-0000-000012010000}"/>
    <cellStyle name="20% - Accent2 3 5 3 2" xfId="14207" xr:uid="{AB6EA8A8-A641-4EB5-9C8D-517543C0170C}"/>
    <cellStyle name="20% - Accent2 3 5 4" xfId="9989" xr:uid="{E33D13C2-E8D4-4136-A432-B6201A4D078F}"/>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7F59736F-C644-40B5-BD77-994A1E871863}"/>
    <cellStyle name="20% - Accent2 3 6 2 3" xfId="12547" xr:uid="{39DB6C0A-F7C6-43F4-956E-41EB5F217BB1}"/>
    <cellStyle name="20% - Accent2 3 6 3" xfId="6170" xr:uid="{00000000-0005-0000-0000-000016010000}"/>
    <cellStyle name="20% - Accent2 3 6 3 2" xfId="14620" xr:uid="{7EFD8A39-F965-499D-A1A1-1BC6C3454AFE}"/>
    <cellStyle name="20% - Accent2 3 6 4" xfId="10402" xr:uid="{0A89C573-830F-4D0C-B913-A16E621D4671}"/>
    <cellStyle name="20% - Accent2 3 7" xfId="2277" xr:uid="{00000000-0005-0000-0000-000017010000}"/>
    <cellStyle name="20% - Accent2 3 7 2" xfId="6583" xr:uid="{00000000-0005-0000-0000-000018010000}"/>
    <cellStyle name="20% - Accent2 3 7 2 2" xfId="15033" xr:uid="{D3C5BA8F-AC89-4675-9D92-AA5633CD4B00}"/>
    <cellStyle name="20% - Accent2 3 7 3" xfId="10815" xr:uid="{F1BA1BD5-AFBD-40FD-BEC4-130045927305}"/>
    <cellStyle name="20% - Accent2 3 8" xfId="4517" xr:uid="{00000000-0005-0000-0000-000019010000}"/>
    <cellStyle name="20% - Accent2 3 8 2" xfId="12967" xr:uid="{B4AF0DC3-47EB-4D43-A7AD-0DCFF4584615}"/>
    <cellStyle name="20% - Accent2 3 9" xfId="8749" xr:uid="{B7958FDE-3A81-4568-863A-D3ECB513A63D}"/>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01861AA6-A323-4E44-9A34-789088DE0769}"/>
    <cellStyle name="20% - Accent2 4 2 2 3" xfId="11310" xr:uid="{CF27A324-62D4-4465-8B9F-DC5B85CA72FE}"/>
    <cellStyle name="20% - Accent2 4 2 3" xfId="4933" xr:uid="{00000000-0005-0000-0000-00001E010000}"/>
    <cellStyle name="20% - Accent2 4 2 3 2" xfId="13383" xr:uid="{00C48932-AC7A-45BA-9CF7-31E8DACB7407}"/>
    <cellStyle name="20% - Accent2 4 2 4" xfId="9165" xr:uid="{F14D063C-7892-4769-B333-AEED6D2C4A5E}"/>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77A1B956-B7A6-4002-9D12-764AB2C7D8AF}"/>
    <cellStyle name="20% - Accent2 4 3 2 3" xfId="11723" xr:uid="{CAB914B7-7ABA-4850-B72A-7AF1AA1D23F3}"/>
    <cellStyle name="20% - Accent2 4 3 3" xfId="5346" xr:uid="{00000000-0005-0000-0000-000022010000}"/>
    <cellStyle name="20% - Accent2 4 3 3 2" xfId="13796" xr:uid="{6176A3D4-B342-4060-AB72-044B8C13D995}"/>
    <cellStyle name="20% - Accent2 4 3 4" xfId="9578" xr:uid="{E9B5D0C3-C0E9-45E8-A7D2-CBD2550A5E12}"/>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D76E7578-9836-431C-B430-1B44DFBB143E}"/>
    <cellStyle name="20% - Accent2 4 4 2 3" xfId="12136" xr:uid="{AD9DBFFA-247B-49A3-8711-6B290E6FFB93}"/>
    <cellStyle name="20% - Accent2 4 4 3" xfId="5759" xr:uid="{00000000-0005-0000-0000-000026010000}"/>
    <cellStyle name="20% - Accent2 4 4 3 2" xfId="14209" xr:uid="{30312D43-2F5F-4EA1-95DD-EEE3128F996F}"/>
    <cellStyle name="20% - Accent2 4 4 4" xfId="9991" xr:uid="{F3B8FCF9-A14B-4CEC-BA1B-F4531E1F9364}"/>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C479299F-E996-4664-9AB0-BD8834F58220}"/>
    <cellStyle name="20% - Accent2 4 5 2 3" xfId="12549" xr:uid="{41D5D7BE-12A0-4B25-9AAE-81CC53D7F69D}"/>
    <cellStyle name="20% - Accent2 4 5 3" xfId="6172" xr:uid="{00000000-0005-0000-0000-00002A010000}"/>
    <cellStyle name="20% - Accent2 4 5 3 2" xfId="14622" xr:uid="{A9436757-1553-4F97-B18F-1DAA100ACBB8}"/>
    <cellStyle name="20% - Accent2 4 5 4" xfId="10404" xr:uid="{0A19F916-00C6-49C1-9BFF-3CC3BA9054C0}"/>
    <cellStyle name="20% - Accent2 4 6" xfId="2279" xr:uid="{00000000-0005-0000-0000-00002B010000}"/>
    <cellStyle name="20% - Accent2 4 6 2" xfId="6585" xr:uid="{00000000-0005-0000-0000-00002C010000}"/>
    <cellStyle name="20% - Accent2 4 6 2 2" xfId="15035" xr:uid="{E99C286B-0D44-48C4-A8F5-EC9D49D0AC33}"/>
    <cellStyle name="20% - Accent2 4 6 3" xfId="10817" xr:uid="{E8A3A770-4D74-463C-BC70-58B7F73CD8DB}"/>
    <cellStyle name="20% - Accent2 4 7" xfId="4519" xr:uid="{00000000-0005-0000-0000-00002D010000}"/>
    <cellStyle name="20% - Accent2 4 7 2" xfId="12969" xr:uid="{913CC9AB-3290-476E-ABC8-A9C975E02407}"/>
    <cellStyle name="20% - Accent2 4 8" xfId="8751" xr:uid="{0A036DCC-C160-48D0-BEB4-F3BD66C81A39}"/>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EFFA1B81-A693-4882-8903-F1C560E425E0}"/>
    <cellStyle name="20% - Accent2 5 2 3" xfId="11303" xr:uid="{4B2D34D0-593E-4BBA-A1C1-D47D253C9EC4}"/>
    <cellStyle name="20% - Accent2 5 3" xfId="4926" xr:uid="{00000000-0005-0000-0000-000031010000}"/>
    <cellStyle name="20% - Accent2 5 3 2" xfId="13376" xr:uid="{286E27C3-AA23-437A-9D41-42074667863A}"/>
    <cellStyle name="20% - Accent2 5 4" xfId="9158" xr:uid="{DF03F9D3-0BF0-43A8-B969-61264AB2A87B}"/>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078534FF-ED44-4FA5-8A43-461A2585862B}"/>
    <cellStyle name="20% - Accent2 6 2 3" xfId="11716" xr:uid="{B6576304-9741-48B8-9929-C6E9C346D499}"/>
    <cellStyle name="20% - Accent2 6 3" xfId="5339" xr:uid="{00000000-0005-0000-0000-000035010000}"/>
    <cellStyle name="20% - Accent2 6 3 2" xfId="13789" xr:uid="{CA444B81-90CA-41BE-B4A7-7C4322958997}"/>
    <cellStyle name="20% - Accent2 6 4" xfId="9571" xr:uid="{373151E7-9A66-4B3C-8F34-F30D2AC2566F}"/>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2ECD7C3C-C104-4C83-A6D8-2FAB80DB0809}"/>
    <cellStyle name="20% - Accent2 7 2 3" xfId="12129" xr:uid="{D040EB94-0121-45BE-B118-AFD224276EEE}"/>
    <cellStyle name="20% - Accent2 7 3" xfId="5752" xr:uid="{00000000-0005-0000-0000-000039010000}"/>
    <cellStyle name="20% - Accent2 7 3 2" xfId="14202" xr:uid="{51E6338F-8382-4588-8603-DBE10F10D43F}"/>
    <cellStyle name="20% - Accent2 7 4" xfId="9984" xr:uid="{37D1B1CE-2DAD-42F0-8153-85B65C1EF902}"/>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4DB99421-1EED-4807-A074-0B82AE9E4EFB}"/>
    <cellStyle name="20% - Accent2 8 2 3" xfId="12542" xr:uid="{16EBCDE8-8169-4754-9DB5-EE51C1C00A4F}"/>
    <cellStyle name="20% - Accent2 8 3" xfId="6165" xr:uid="{00000000-0005-0000-0000-00003D010000}"/>
    <cellStyle name="20% - Accent2 8 3 2" xfId="14615" xr:uid="{3760B3C3-1C36-46AA-ABE0-1E3183ACC558}"/>
    <cellStyle name="20% - Accent2 8 4" xfId="10397" xr:uid="{92A9A0ED-27ED-4CE2-82A2-3A51835429C4}"/>
    <cellStyle name="20% - Accent2 9" xfId="2272" xr:uid="{00000000-0005-0000-0000-00003E010000}"/>
    <cellStyle name="20% - Accent2 9 2" xfId="6578" xr:uid="{00000000-0005-0000-0000-00003F010000}"/>
    <cellStyle name="20% - Accent2 9 2 2" xfId="15028" xr:uid="{17B3EAD1-6FAD-4FFB-9523-61726A51EBE0}"/>
    <cellStyle name="20% - Accent2 9 3" xfId="10810" xr:uid="{2EF54409-1F15-4A86-87DA-63B49B946C0A}"/>
    <cellStyle name="20% - Accent3" xfId="17" builtinId="38" customBuiltin="1"/>
    <cellStyle name="20% - Accent3 10" xfId="4520" xr:uid="{00000000-0005-0000-0000-000041010000}"/>
    <cellStyle name="20% - Accent3 10 2" xfId="12970" xr:uid="{F061E3EB-1E62-4E36-B854-ABB931BED51E}"/>
    <cellStyle name="20% - Accent3 11" xfId="8752" xr:uid="{D5D6350E-7805-4774-96C2-CD528887A053}"/>
    <cellStyle name="20% - Accent3 2" xfId="18" xr:uid="{00000000-0005-0000-0000-000042010000}"/>
    <cellStyle name="20% - Accent3 2 10" xfId="8753" xr:uid="{9DE43AAF-F3F0-4EBE-84BB-E6DF429EA7D7}"/>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E5F56F78-FBE3-4EF5-A193-B8D6D4596089}"/>
    <cellStyle name="20% - Accent3 2 2 2 2 2 3" xfId="11314" xr:uid="{472C94B2-4A80-4921-B08E-96B3C9530A30}"/>
    <cellStyle name="20% - Accent3 2 2 2 2 3" xfId="4937" xr:uid="{00000000-0005-0000-0000-000048010000}"/>
    <cellStyle name="20% - Accent3 2 2 2 2 3 2" xfId="13387" xr:uid="{133372CD-69C5-4DC6-9431-A1911D6E7DF3}"/>
    <cellStyle name="20% - Accent3 2 2 2 2 4" xfId="9169" xr:uid="{89011CB3-FD30-4DCA-AD7F-2EC15B1A5798}"/>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7DA703A7-27A0-4D88-A60A-E68DCE5CA5AE}"/>
    <cellStyle name="20% - Accent3 2 2 2 3 2 3" xfId="11727" xr:uid="{F68DE3CE-76AE-4B58-89AF-BFC4EE4FCBFE}"/>
    <cellStyle name="20% - Accent3 2 2 2 3 3" xfId="5350" xr:uid="{00000000-0005-0000-0000-00004C010000}"/>
    <cellStyle name="20% - Accent3 2 2 2 3 3 2" xfId="13800" xr:uid="{D053479D-6745-4689-AFA3-6765B2E648AA}"/>
    <cellStyle name="20% - Accent3 2 2 2 3 4" xfId="9582" xr:uid="{D2ADB270-5648-4B38-9959-A3C4F5EB283D}"/>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3751A4AF-A937-40AA-ACCD-F3717754C48C}"/>
    <cellStyle name="20% - Accent3 2 2 2 4 2 3" xfId="12140" xr:uid="{0491A244-2665-466B-8111-00B0ADED0A8D}"/>
    <cellStyle name="20% - Accent3 2 2 2 4 3" xfId="5763" xr:uid="{00000000-0005-0000-0000-000050010000}"/>
    <cellStyle name="20% - Accent3 2 2 2 4 3 2" xfId="14213" xr:uid="{BCB43291-338F-4627-AF34-4B483B67DB65}"/>
    <cellStyle name="20% - Accent3 2 2 2 4 4" xfId="9995" xr:uid="{E6EC8C32-5AE2-4532-A6EA-D6EEB3C7EFC5}"/>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E9BE0001-D8EA-41BC-B776-4D9B86A3E567}"/>
    <cellStyle name="20% - Accent3 2 2 2 5 2 3" xfId="12553" xr:uid="{E2EB5A1C-FB0C-43C3-8F31-C50C299AC52E}"/>
    <cellStyle name="20% - Accent3 2 2 2 5 3" xfId="6176" xr:uid="{00000000-0005-0000-0000-000054010000}"/>
    <cellStyle name="20% - Accent3 2 2 2 5 3 2" xfId="14626" xr:uid="{17383FAE-6E42-41A0-A08B-373B52F5450B}"/>
    <cellStyle name="20% - Accent3 2 2 2 5 4" xfId="10408" xr:uid="{1BC68E76-CB6F-4C7D-B231-7722B1B244AC}"/>
    <cellStyle name="20% - Accent3 2 2 2 6" xfId="2283" xr:uid="{00000000-0005-0000-0000-000055010000}"/>
    <cellStyle name="20% - Accent3 2 2 2 6 2" xfId="6589" xr:uid="{00000000-0005-0000-0000-000056010000}"/>
    <cellStyle name="20% - Accent3 2 2 2 6 2 2" xfId="15039" xr:uid="{877D886E-C7B5-4E62-B2E9-3FDE20A0954E}"/>
    <cellStyle name="20% - Accent3 2 2 2 6 3" xfId="10821" xr:uid="{90C720A5-4B12-4FC4-9A8E-C6066A6A6E7F}"/>
    <cellStyle name="20% - Accent3 2 2 2 7" xfId="4523" xr:uid="{00000000-0005-0000-0000-000057010000}"/>
    <cellStyle name="20% - Accent3 2 2 2 7 2" xfId="12973" xr:uid="{2A6F5F20-B3C4-46CD-A843-6D295D62936D}"/>
    <cellStyle name="20% - Accent3 2 2 2 8" xfId="8755" xr:uid="{CDD1E0E2-9626-4061-8E7A-8B9160378E67}"/>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956FF79D-D06A-494F-956F-B42E7CD1929C}"/>
    <cellStyle name="20% - Accent3 2 2 3 2 3" xfId="11313" xr:uid="{75E385EB-1412-4C34-901B-3A17D0F41F4C}"/>
    <cellStyle name="20% - Accent3 2 2 3 3" xfId="4936" xr:uid="{00000000-0005-0000-0000-00005B010000}"/>
    <cellStyle name="20% - Accent3 2 2 3 3 2" xfId="13386" xr:uid="{CD77266E-4295-45DB-B867-04425480B83A}"/>
    <cellStyle name="20% - Accent3 2 2 3 4" xfId="9168" xr:uid="{CE2B4594-82BA-4C21-8707-9439A30B12FB}"/>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ECC07040-FD1E-46DF-8CB3-EB358FA6E899}"/>
    <cellStyle name="20% - Accent3 2 2 4 2 3" xfId="11726" xr:uid="{8B440605-9CEF-499D-B0E4-545221DBBEE9}"/>
    <cellStyle name="20% - Accent3 2 2 4 3" xfId="5349" xr:uid="{00000000-0005-0000-0000-00005F010000}"/>
    <cellStyle name="20% - Accent3 2 2 4 3 2" xfId="13799" xr:uid="{A31A3D54-56D4-489C-807B-FACFADA1E197}"/>
    <cellStyle name="20% - Accent3 2 2 4 4" xfId="9581" xr:uid="{BDFF40BD-A9BF-4F5F-8AFE-109A80C683A4}"/>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0C85F670-A013-44BD-88E1-44C847EDB01B}"/>
    <cellStyle name="20% - Accent3 2 2 5 2 3" xfId="12139" xr:uid="{BC0E0708-D1F4-4AC0-99E1-2C8BB6150053}"/>
    <cellStyle name="20% - Accent3 2 2 5 3" xfId="5762" xr:uid="{00000000-0005-0000-0000-000063010000}"/>
    <cellStyle name="20% - Accent3 2 2 5 3 2" xfId="14212" xr:uid="{017B7CC8-652F-41A3-9324-93F1403672BC}"/>
    <cellStyle name="20% - Accent3 2 2 5 4" xfId="9994" xr:uid="{C8866136-E972-463E-8E86-3547306125F7}"/>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CA8C52BC-11E7-4528-86D3-AC8FBA39F013}"/>
    <cellStyle name="20% - Accent3 2 2 6 2 3" xfId="12552" xr:uid="{AB897017-FFAA-4CA4-AB03-2E6B16888448}"/>
    <cellStyle name="20% - Accent3 2 2 6 3" xfId="6175" xr:uid="{00000000-0005-0000-0000-000067010000}"/>
    <cellStyle name="20% - Accent3 2 2 6 3 2" xfId="14625" xr:uid="{83F17947-1459-4A59-959D-DBB6C6D8CA34}"/>
    <cellStyle name="20% - Accent3 2 2 6 4" xfId="10407" xr:uid="{DED37528-A47C-4A05-9A3A-543F6F41D530}"/>
    <cellStyle name="20% - Accent3 2 2 7" xfId="2282" xr:uid="{00000000-0005-0000-0000-000068010000}"/>
    <cellStyle name="20% - Accent3 2 2 7 2" xfId="6588" xr:uid="{00000000-0005-0000-0000-000069010000}"/>
    <cellStyle name="20% - Accent3 2 2 7 2 2" xfId="15038" xr:uid="{0E60A696-CF8F-4588-BD48-1F8319BFCFFD}"/>
    <cellStyle name="20% - Accent3 2 2 7 3" xfId="10820" xr:uid="{596FF286-FEDA-46EC-BA72-AD7B766312BF}"/>
    <cellStyle name="20% - Accent3 2 2 8" xfId="4522" xr:uid="{00000000-0005-0000-0000-00006A010000}"/>
    <cellStyle name="20% - Accent3 2 2 8 2" xfId="12972" xr:uid="{4CDB24CC-23F4-4DBD-BA27-0E38F213739F}"/>
    <cellStyle name="20% - Accent3 2 2 9" xfId="8754" xr:uid="{FCC89D65-A13C-45D3-A047-9BBCA6E5A381}"/>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0EBAF06E-D3CA-44D9-AC94-6C7540988FB8}"/>
    <cellStyle name="20% - Accent3 2 3 2 2 3" xfId="11315" xr:uid="{56D7B868-EE08-4FCC-9603-B7327CD6D468}"/>
    <cellStyle name="20% - Accent3 2 3 2 3" xfId="4938" xr:uid="{00000000-0005-0000-0000-00006F010000}"/>
    <cellStyle name="20% - Accent3 2 3 2 3 2" xfId="13388" xr:uid="{9C9343FA-BC6C-4E0D-97AA-13D5890BD45E}"/>
    <cellStyle name="20% - Accent3 2 3 2 4" xfId="9170" xr:uid="{4BC566DA-E2A0-4506-91F9-C8242D010469}"/>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3B4097C9-A240-48ED-9E96-09C73C5AFE4E}"/>
    <cellStyle name="20% - Accent3 2 3 3 2 3" xfId="11728" xr:uid="{A7C2406A-1875-434B-97D9-ADB1389E7F45}"/>
    <cellStyle name="20% - Accent3 2 3 3 3" xfId="5351" xr:uid="{00000000-0005-0000-0000-000073010000}"/>
    <cellStyle name="20% - Accent3 2 3 3 3 2" xfId="13801" xr:uid="{8C7BCE01-9C51-48CA-9D3C-8B82B3AA6EAD}"/>
    <cellStyle name="20% - Accent3 2 3 3 4" xfId="9583" xr:uid="{3EEA4526-1D2F-494C-B8DC-ABDEBD6E2EEA}"/>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2DB30930-1744-4FCA-9F7E-24682B8828EB}"/>
    <cellStyle name="20% - Accent3 2 3 4 2 3" xfId="12141" xr:uid="{9598AA35-0A3C-4B32-B88C-FF34A39B64E2}"/>
    <cellStyle name="20% - Accent3 2 3 4 3" xfId="5764" xr:uid="{00000000-0005-0000-0000-000077010000}"/>
    <cellStyle name="20% - Accent3 2 3 4 3 2" xfId="14214" xr:uid="{D2EEAE96-E575-4660-96F3-7BDD1FDE8375}"/>
    <cellStyle name="20% - Accent3 2 3 4 4" xfId="9996" xr:uid="{D03C0E6C-757A-46E0-8E63-3329EB763DE9}"/>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4128C469-1B9F-4A05-92D2-7BC0EBAAFEAE}"/>
    <cellStyle name="20% - Accent3 2 3 5 2 3" xfId="12554" xr:uid="{24D73908-611A-452D-97C8-ED351D099740}"/>
    <cellStyle name="20% - Accent3 2 3 5 3" xfId="6177" xr:uid="{00000000-0005-0000-0000-00007B010000}"/>
    <cellStyle name="20% - Accent3 2 3 5 3 2" xfId="14627" xr:uid="{0832C00F-DB31-4D15-9002-79BE5EB28153}"/>
    <cellStyle name="20% - Accent3 2 3 5 4" xfId="10409" xr:uid="{D5C218B0-0B90-4B9E-88C4-AA993E7C89DE}"/>
    <cellStyle name="20% - Accent3 2 3 6" xfId="2284" xr:uid="{00000000-0005-0000-0000-00007C010000}"/>
    <cellStyle name="20% - Accent3 2 3 6 2" xfId="6590" xr:uid="{00000000-0005-0000-0000-00007D010000}"/>
    <cellStyle name="20% - Accent3 2 3 6 2 2" xfId="15040" xr:uid="{9166A1DB-513A-4751-A76B-FFD6E5C1CAE4}"/>
    <cellStyle name="20% - Accent3 2 3 6 3" xfId="10822" xr:uid="{459E2AAE-7A3A-4086-919A-B0E6841D4A4F}"/>
    <cellStyle name="20% - Accent3 2 3 7" xfId="4524" xr:uid="{00000000-0005-0000-0000-00007E010000}"/>
    <cellStyle name="20% - Accent3 2 3 7 2" xfId="12974" xr:uid="{FE2EDE65-949C-494E-B912-C0315178A670}"/>
    <cellStyle name="20% - Accent3 2 3 8" xfId="8756" xr:uid="{D1320AC4-217B-4E19-838F-DCA91118D4E1}"/>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38FEAE75-D3D9-45BB-959D-35A9622F6104}"/>
    <cellStyle name="20% - Accent3 2 4 2 3" xfId="11312" xr:uid="{B9F2DC65-9DF8-4E3E-9B0D-2D480B7FC8B0}"/>
    <cellStyle name="20% - Accent3 2 4 3" xfId="4935" xr:uid="{00000000-0005-0000-0000-000082010000}"/>
    <cellStyle name="20% - Accent3 2 4 3 2" xfId="13385" xr:uid="{5C573989-69AA-4E48-8843-A40A0101EF9E}"/>
    <cellStyle name="20% - Accent3 2 4 4" xfId="9167" xr:uid="{72993EF0-273B-4319-B1AD-847321F82D90}"/>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30967B75-2383-403E-BADA-6C32EAA7E6C9}"/>
    <cellStyle name="20% - Accent3 2 5 2 3" xfId="11725" xr:uid="{3C502EFF-D1AC-4B5D-A0E9-FDEDD2FB0E2A}"/>
    <cellStyle name="20% - Accent3 2 5 3" xfId="5348" xr:uid="{00000000-0005-0000-0000-000086010000}"/>
    <cellStyle name="20% - Accent3 2 5 3 2" xfId="13798" xr:uid="{2A718120-4468-4217-98E5-A2B46F1B5A2E}"/>
    <cellStyle name="20% - Accent3 2 5 4" xfId="9580" xr:uid="{FED5EF32-BCA8-49A4-88A4-50DBDB539C4F}"/>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F2E06BE5-8C7B-4547-948B-5D1EE93935AF}"/>
    <cellStyle name="20% - Accent3 2 6 2 3" xfId="12138" xr:uid="{6F5CA943-2211-42D9-97B5-0889A666E8BA}"/>
    <cellStyle name="20% - Accent3 2 6 3" xfId="5761" xr:uid="{00000000-0005-0000-0000-00008A010000}"/>
    <cellStyle name="20% - Accent3 2 6 3 2" xfId="14211" xr:uid="{4E2CA493-B2C8-4165-BA3B-431F91BB06EB}"/>
    <cellStyle name="20% - Accent3 2 6 4" xfId="9993" xr:uid="{551C6024-BED1-4313-A21A-E6707123048E}"/>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C0DDF3FB-CC9C-4E3E-B4D2-7E6351CABE26}"/>
    <cellStyle name="20% - Accent3 2 7 2 3" xfId="12551" xr:uid="{06D282FC-F5A2-4B67-9B25-D2EDF5550417}"/>
    <cellStyle name="20% - Accent3 2 7 3" xfId="6174" xr:uid="{00000000-0005-0000-0000-00008E010000}"/>
    <cellStyle name="20% - Accent3 2 7 3 2" xfId="14624" xr:uid="{48FA302A-300A-420C-87BD-4309240F07E2}"/>
    <cellStyle name="20% - Accent3 2 7 4" xfId="10406" xr:uid="{94AE6850-D4F2-4DED-B556-58D1983AAD30}"/>
    <cellStyle name="20% - Accent3 2 8" xfId="2281" xr:uid="{00000000-0005-0000-0000-00008F010000}"/>
    <cellStyle name="20% - Accent3 2 8 2" xfId="6587" xr:uid="{00000000-0005-0000-0000-000090010000}"/>
    <cellStyle name="20% - Accent3 2 8 2 2" xfId="15037" xr:uid="{C78436B0-EB35-4589-842C-1909D5853A37}"/>
    <cellStyle name="20% - Accent3 2 8 3" xfId="10819" xr:uid="{0EA4CC3E-7A2A-4D4E-A050-895D736DFA38}"/>
    <cellStyle name="20% - Accent3 2 9" xfId="4521" xr:uid="{00000000-0005-0000-0000-000091010000}"/>
    <cellStyle name="20% - Accent3 2 9 2" xfId="12971" xr:uid="{09B702CB-9690-4A9D-B76D-BDF823A2B92A}"/>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E70EE3A0-E768-4B51-B833-603AF3EBFA5E}"/>
    <cellStyle name="20% - Accent3 3 2 2 2 3" xfId="11317" xr:uid="{D44EF020-9179-4636-8F7A-C3C1093F0DB4}"/>
    <cellStyle name="20% - Accent3 3 2 2 3" xfId="4940" xr:uid="{00000000-0005-0000-0000-000097010000}"/>
    <cellStyle name="20% - Accent3 3 2 2 3 2" xfId="13390" xr:uid="{572A30B3-5004-4834-B494-00787246BA3B}"/>
    <cellStyle name="20% - Accent3 3 2 2 4" xfId="9172" xr:uid="{36D8A1A1-E150-4EC5-9E25-3EF03525D7C0}"/>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39F92FCA-4ECA-4134-B206-68ACACC4F4B3}"/>
    <cellStyle name="20% - Accent3 3 2 3 2 3" xfId="11730" xr:uid="{070749A7-3EFB-4041-B571-C3626B1D1032}"/>
    <cellStyle name="20% - Accent3 3 2 3 3" xfId="5353" xr:uid="{00000000-0005-0000-0000-00009B010000}"/>
    <cellStyle name="20% - Accent3 3 2 3 3 2" xfId="13803" xr:uid="{DCE243DA-638B-4C05-AAC1-7A23B91935FE}"/>
    <cellStyle name="20% - Accent3 3 2 3 4" xfId="9585" xr:uid="{97C0FF2F-3156-4A74-AEFD-FE32744D1AE2}"/>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A62C6F8A-5836-4627-A50D-0B45E2D22C50}"/>
    <cellStyle name="20% - Accent3 3 2 4 2 3" xfId="12143" xr:uid="{3E8924E1-4F3E-4671-9D6C-DD43469E7749}"/>
    <cellStyle name="20% - Accent3 3 2 4 3" xfId="5766" xr:uid="{00000000-0005-0000-0000-00009F010000}"/>
    <cellStyle name="20% - Accent3 3 2 4 3 2" xfId="14216" xr:uid="{E502FED5-81EE-4F66-A354-E5709A071D82}"/>
    <cellStyle name="20% - Accent3 3 2 4 4" xfId="9998" xr:uid="{C420ACFB-561F-4A24-A7F0-2D8EE8D2A47D}"/>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25C42B2C-6B00-46DA-AC02-72322EC215AA}"/>
    <cellStyle name="20% - Accent3 3 2 5 2 3" xfId="12556" xr:uid="{7E3A6511-4D54-4D1A-A462-CE3BA019D1CE}"/>
    <cellStyle name="20% - Accent3 3 2 5 3" xfId="6179" xr:uid="{00000000-0005-0000-0000-0000A3010000}"/>
    <cellStyle name="20% - Accent3 3 2 5 3 2" xfId="14629" xr:uid="{36C31110-22EB-4130-992C-B127F81A8BC5}"/>
    <cellStyle name="20% - Accent3 3 2 5 4" xfId="10411" xr:uid="{51EACBA5-6965-4953-811A-D76D2A36B847}"/>
    <cellStyle name="20% - Accent3 3 2 6" xfId="2286" xr:uid="{00000000-0005-0000-0000-0000A4010000}"/>
    <cellStyle name="20% - Accent3 3 2 6 2" xfId="6592" xr:uid="{00000000-0005-0000-0000-0000A5010000}"/>
    <cellStyle name="20% - Accent3 3 2 6 2 2" xfId="15042" xr:uid="{602D228A-D549-4797-8251-8C79D12F4571}"/>
    <cellStyle name="20% - Accent3 3 2 6 3" xfId="10824" xr:uid="{49A529B4-F95A-4E3E-B5B8-969F191F8292}"/>
    <cellStyle name="20% - Accent3 3 2 7" xfId="4526" xr:uid="{00000000-0005-0000-0000-0000A6010000}"/>
    <cellStyle name="20% - Accent3 3 2 7 2" xfId="12976" xr:uid="{6796248E-8B01-4522-AF10-88E70259BE40}"/>
    <cellStyle name="20% - Accent3 3 2 8" xfId="8758" xr:uid="{56E1A225-A59C-4942-8CA1-1DB2DAFB198B}"/>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F06B0CAE-FD42-4B18-AFDC-3303E0108E57}"/>
    <cellStyle name="20% - Accent3 3 3 2 3" xfId="11316" xr:uid="{D317A883-C0E4-41AE-B654-FCA561F70353}"/>
    <cellStyle name="20% - Accent3 3 3 3" xfId="4939" xr:uid="{00000000-0005-0000-0000-0000AA010000}"/>
    <cellStyle name="20% - Accent3 3 3 3 2" xfId="13389" xr:uid="{A53931F8-8B64-46A5-8DF0-FAB0FABD4863}"/>
    <cellStyle name="20% - Accent3 3 3 4" xfId="9171" xr:uid="{7C54C7A2-03DA-4DE9-BAD6-0641F5117080}"/>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3E09F4D5-C454-4651-807B-126D92076BA8}"/>
    <cellStyle name="20% - Accent3 3 4 2 3" xfId="11729" xr:uid="{1765F59B-2246-4CDC-95F7-BE62C86F3AE9}"/>
    <cellStyle name="20% - Accent3 3 4 3" xfId="5352" xr:uid="{00000000-0005-0000-0000-0000AE010000}"/>
    <cellStyle name="20% - Accent3 3 4 3 2" xfId="13802" xr:uid="{88DD1F44-6505-46A1-9092-AF0E08E40ADE}"/>
    <cellStyle name="20% - Accent3 3 4 4" xfId="9584" xr:uid="{C3658C44-53D0-435E-AD57-F5626DA305EB}"/>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91E9430C-BBA3-4581-8EC8-27F767950594}"/>
    <cellStyle name="20% - Accent3 3 5 2 3" xfId="12142" xr:uid="{8F440756-A246-455A-ACF9-708AD61B7505}"/>
    <cellStyle name="20% - Accent3 3 5 3" xfId="5765" xr:uid="{00000000-0005-0000-0000-0000B2010000}"/>
    <cellStyle name="20% - Accent3 3 5 3 2" xfId="14215" xr:uid="{8FF6E5A3-2A7A-44F3-B8DA-725FDBB4EA6A}"/>
    <cellStyle name="20% - Accent3 3 5 4" xfId="9997" xr:uid="{E61AFCEB-B031-41BD-A236-CD54C404132D}"/>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9065C159-D4F2-4D97-AF1D-442E69360B59}"/>
    <cellStyle name="20% - Accent3 3 6 2 3" xfId="12555" xr:uid="{819D9054-0E9B-49D5-BD61-C972CE1E3658}"/>
    <cellStyle name="20% - Accent3 3 6 3" xfId="6178" xr:uid="{00000000-0005-0000-0000-0000B6010000}"/>
    <cellStyle name="20% - Accent3 3 6 3 2" xfId="14628" xr:uid="{1C376E7F-5476-4363-8200-1968FD64B06F}"/>
    <cellStyle name="20% - Accent3 3 6 4" xfId="10410" xr:uid="{7C0A9D74-C04C-44E7-B0EE-AF2B6514FF31}"/>
    <cellStyle name="20% - Accent3 3 7" xfId="2285" xr:uid="{00000000-0005-0000-0000-0000B7010000}"/>
    <cellStyle name="20% - Accent3 3 7 2" xfId="6591" xr:uid="{00000000-0005-0000-0000-0000B8010000}"/>
    <cellStyle name="20% - Accent3 3 7 2 2" xfId="15041" xr:uid="{6B03777E-480A-420F-8655-EE6E330F3C0D}"/>
    <cellStyle name="20% - Accent3 3 7 3" xfId="10823" xr:uid="{7C526A19-17A9-4043-A8AB-CFD69FE47BB9}"/>
    <cellStyle name="20% - Accent3 3 8" xfId="4525" xr:uid="{00000000-0005-0000-0000-0000B9010000}"/>
    <cellStyle name="20% - Accent3 3 8 2" xfId="12975" xr:uid="{1A14E795-8FF9-476E-B1EC-7FC8CC2CCEC1}"/>
    <cellStyle name="20% - Accent3 3 9" xfId="8757" xr:uid="{B9BF34E9-08F4-437F-9A47-692912B14506}"/>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78C30A56-FCFD-4B93-9FDF-3FD3C1D66CAD}"/>
    <cellStyle name="20% - Accent3 4 2 2 3" xfId="11318" xr:uid="{DC5D085D-64EA-45A0-ACEA-8D8996EC7C45}"/>
    <cellStyle name="20% - Accent3 4 2 3" xfId="4941" xr:uid="{00000000-0005-0000-0000-0000BE010000}"/>
    <cellStyle name="20% - Accent3 4 2 3 2" xfId="13391" xr:uid="{54EF1FA0-BAC2-4589-88BF-CF766EE1E766}"/>
    <cellStyle name="20% - Accent3 4 2 4" xfId="9173" xr:uid="{2F4112E3-8F58-4C8F-B128-0B62121D7D12}"/>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BF8B64CC-93BA-41A5-9139-BF66A51F24A2}"/>
    <cellStyle name="20% - Accent3 4 3 2 3" xfId="11731" xr:uid="{F10DE2AC-58EB-459E-92AE-6B21BEEFB9FD}"/>
    <cellStyle name="20% - Accent3 4 3 3" xfId="5354" xr:uid="{00000000-0005-0000-0000-0000C2010000}"/>
    <cellStyle name="20% - Accent3 4 3 3 2" xfId="13804" xr:uid="{5D53BD98-C38F-4C9B-ADD3-0B3287E61E3E}"/>
    <cellStyle name="20% - Accent3 4 3 4" xfId="9586" xr:uid="{418B6840-07A7-4B02-92A9-1BBA88E0E992}"/>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697126E7-1BA0-4DB6-AD86-5BD76C9DAC81}"/>
    <cellStyle name="20% - Accent3 4 4 2 3" xfId="12144" xr:uid="{F866DBDB-51E1-4AB1-B544-AB731269D903}"/>
    <cellStyle name="20% - Accent3 4 4 3" xfId="5767" xr:uid="{00000000-0005-0000-0000-0000C6010000}"/>
    <cellStyle name="20% - Accent3 4 4 3 2" xfId="14217" xr:uid="{58F6891D-644C-47F5-B965-785E76E0AA01}"/>
    <cellStyle name="20% - Accent3 4 4 4" xfId="9999" xr:uid="{7AA83AC0-6937-44C3-A4B8-33CECB4636B1}"/>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BCB1090B-E361-4BDF-9CD9-36A7FF529E25}"/>
    <cellStyle name="20% - Accent3 4 5 2 3" xfId="12557" xr:uid="{5F1E8165-4329-4F5F-B6CF-DB6E58C56127}"/>
    <cellStyle name="20% - Accent3 4 5 3" xfId="6180" xr:uid="{00000000-0005-0000-0000-0000CA010000}"/>
    <cellStyle name="20% - Accent3 4 5 3 2" xfId="14630" xr:uid="{0A9D6DD2-A3FD-47DA-A0CF-F0FE41D761AD}"/>
    <cellStyle name="20% - Accent3 4 5 4" xfId="10412" xr:uid="{D45F2EB5-13AE-4691-9511-80A22DEBBF02}"/>
    <cellStyle name="20% - Accent3 4 6" xfId="2287" xr:uid="{00000000-0005-0000-0000-0000CB010000}"/>
    <cellStyle name="20% - Accent3 4 6 2" xfId="6593" xr:uid="{00000000-0005-0000-0000-0000CC010000}"/>
    <cellStyle name="20% - Accent3 4 6 2 2" xfId="15043" xr:uid="{586D7EAC-565C-4BD6-BA1E-5447188FD9C1}"/>
    <cellStyle name="20% - Accent3 4 6 3" xfId="10825" xr:uid="{9F956C6E-987E-4890-ACE1-D31FF8452AE9}"/>
    <cellStyle name="20% - Accent3 4 7" xfId="4527" xr:uid="{00000000-0005-0000-0000-0000CD010000}"/>
    <cellStyle name="20% - Accent3 4 7 2" xfId="12977" xr:uid="{DD06EEC2-08FA-4758-901C-4147DCA7EFE8}"/>
    <cellStyle name="20% - Accent3 4 8" xfId="8759" xr:uid="{750E82B7-82E1-4B44-894A-DBDCE9F6ED51}"/>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0B1B4618-7E00-4443-B100-0266EDF9F660}"/>
    <cellStyle name="20% - Accent3 5 2 3" xfId="11311" xr:uid="{0949DE38-E67C-45ED-929D-25D69C683619}"/>
    <cellStyle name="20% - Accent3 5 3" xfId="4934" xr:uid="{00000000-0005-0000-0000-0000D1010000}"/>
    <cellStyle name="20% - Accent3 5 3 2" xfId="13384" xr:uid="{EACF108D-B510-4016-A15E-86AA4F2AA0B7}"/>
    <cellStyle name="20% - Accent3 5 4" xfId="9166" xr:uid="{D4B5C864-7FF9-44B2-AC82-4886A9D66805}"/>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48AB0706-CE3D-45A0-B84C-8F084BD3619F}"/>
    <cellStyle name="20% - Accent3 6 2 3" xfId="11724" xr:uid="{CD10AAC7-F139-4676-B6F5-2427494DEBF3}"/>
    <cellStyle name="20% - Accent3 6 3" xfId="5347" xr:uid="{00000000-0005-0000-0000-0000D5010000}"/>
    <cellStyle name="20% - Accent3 6 3 2" xfId="13797" xr:uid="{E8ABF9A6-6119-44ED-8068-A82BFB145204}"/>
    <cellStyle name="20% - Accent3 6 4" xfId="9579" xr:uid="{85FCA986-8935-4005-BDF3-54E7B3198317}"/>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E4468C49-A5F7-4113-8685-93A52EEC778C}"/>
    <cellStyle name="20% - Accent3 7 2 3" xfId="12137" xr:uid="{E026D836-6E1B-4B79-ACB2-45941FA0AD54}"/>
    <cellStyle name="20% - Accent3 7 3" xfId="5760" xr:uid="{00000000-0005-0000-0000-0000D9010000}"/>
    <cellStyle name="20% - Accent3 7 3 2" xfId="14210" xr:uid="{8A8FEF4E-6ADB-48FB-90D2-8F64E3F34ABB}"/>
    <cellStyle name="20% - Accent3 7 4" xfId="9992" xr:uid="{49A48F62-518E-44A1-A01E-A6E3C3EFE430}"/>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B4AE08DD-59C4-4757-A069-A48434432460}"/>
    <cellStyle name="20% - Accent3 8 2 3" xfId="12550" xr:uid="{87C1E253-14A8-4130-B3F4-F381105459AF}"/>
    <cellStyle name="20% - Accent3 8 3" xfId="6173" xr:uid="{00000000-0005-0000-0000-0000DD010000}"/>
    <cellStyle name="20% - Accent3 8 3 2" xfId="14623" xr:uid="{2FEE05A1-4DDA-415A-A722-BAFBC89FDDED}"/>
    <cellStyle name="20% - Accent3 8 4" xfId="10405" xr:uid="{19DEE167-11FF-4A48-AE69-AE10CB85CEE2}"/>
    <cellStyle name="20% - Accent3 9" xfId="2280" xr:uid="{00000000-0005-0000-0000-0000DE010000}"/>
    <cellStyle name="20% - Accent3 9 2" xfId="6586" xr:uid="{00000000-0005-0000-0000-0000DF010000}"/>
    <cellStyle name="20% - Accent3 9 2 2" xfId="15036" xr:uid="{04867CE4-446C-4BF1-B809-8123575D94E2}"/>
    <cellStyle name="20% - Accent3 9 3" xfId="10818" xr:uid="{9B8CE703-21AC-4C85-A378-E251E4ABDF1C}"/>
    <cellStyle name="20% - Accent4" xfId="25" builtinId="42" customBuiltin="1"/>
    <cellStyle name="20% - Accent4 10" xfId="4528" xr:uid="{00000000-0005-0000-0000-0000E1010000}"/>
    <cellStyle name="20% - Accent4 10 2" xfId="12978" xr:uid="{F16132A1-0B90-46E3-B2DD-F5F020F07B60}"/>
    <cellStyle name="20% - Accent4 11" xfId="8760" xr:uid="{006ED389-F0AB-454B-AB4C-BA9AC9F9B32B}"/>
    <cellStyle name="20% - Accent4 2" xfId="26" xr:uid="{00000000-0005-0000-0000-0000E2010000}"/>
    <cellStyle name="20% - Accent4 2 10" xfId="8761" xr:uid="{DD083D1E-6787-4636-BC0D-6D9753AD5DEF}"/>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CB0AE5AE-5992-4D7F-AE80-FA245CCBBA69}"/>
    <cellStyle name="20% - Accent4 2 2 2 2 2 3" xfId="11322" xr:uid="{1EB62551-FBAC-4443-969B-68024A578C51}"/>
    <cellStyle name="20% - Accent4 2 2 2 2 3" xfId="4945" xr:uid="{00000000-0005-0000-0000-0000E8010000}"/>
    <cellStyle name="20% - Accent4 2 2 2 2 3 2" xfId="13395" xr:uid="{D26AB380-9CED-477F-A392-F1EAC7CC4794}"/>
    <cellStyle name="20% - Accent4 2 2 2 2 4" xfId="9177" xr:uid="{CEB2B86E-6EA5-43B8-BA80-A3E0B937140B}"/>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24A42578-B8F7-4820-A9C2-FFBB1EC1D57A}"/>
    <cellStyle name="20% - Accent4 2 2 2 3 2 3" xfId="11735" xr:uid="{D9DB891D-9A78-4EB9-8887-FF52202E2673}"/>
    <cellStyle name="20% - Accent4 2 2 2 3 3" xfId="5358" xr:uid="{00000000-0005-0000-0000-0000EC010000}"/>
    <cellStyle name="20% - Accent4 2 2 2 3 3 2" xfId="13808" xr:uid="{3AE6AEDD-82E6-47C0-AE43-A825BCAEDAB5}"/>
    <cellStyle name="20% - Accent4 2 2 2 3 4" xfId="9590" xr:uid="{0995D5D8-879C-498D-9D98-074A5E0B84E1}"/>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4A1DAA1C-9969-4493-9656-67C84D786CA6}"/>
    <cellStyle name="20% - Accent4 2 2 2 4 2 3" xfId="12148" xr:uid="{89FA0330-CDC7-4FE7-BBDE-7153778E79DD}"/>
    <cellStyle name="20% - Accent4 2 2 2 4 3" xfId="5771" xr:uid="{00000000-0005-0000-0000-0000F0010000}"/>
    <cellStyle name="20% - Accent4 2 2 2 4 3 2" xfId="14221" xr:uid="{0B39779B-215B-4653-9833-0D0B1F08972F}"/>
    <cellStyle name="20% - Accent4 2 2 2 4 4" xfId="10003" xr:uid="{F67B1214-D7B1-4A9A-B7C6-0A4938FEAAFA}"/>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7048C3FF-EEF1-4BE1-BD0C-78C49DCB23FA}"/>
    <cellStyle name="20% - Accent4 2 2 2 5 2 3" xfId="12561" xr:uid="{61E12ADC-4A54-48B8-8078-AAB234B8783C}"/>
    <cellStyle name="20% - Accent4 2 2 2 5 3" xfId="6184" xr:uid="{00000000-0005-0000-0000-0000F4010000}"/>
    <cellStyle name="20% - Accent4 2 2 2 5 3 2" xfId="14634" xr:uid="{9243D062-FE63-4E6C-A402-BDC9D945F1DA}"/>
    <cellStyle name="20% - Accent4 2 2 2 5 4" xfId="10416" xr:uid="{1B3A2A79-9866-4122-B629-30643B0774CA}"/>
    <cellStyle name="20% - Accent4 2 2 2 6" xfId="2291" xr:uid="{00000000-0005-0000-0000-0000F5010000}"/>
    <cellStyle name="20% - Accent4 2 2 2 6 2" xfId="6597" xr:uid="{00000000-0005-0000-0000-0000F6010000}"/>
    <cellStyle name="20% - Accent4 2 2 2 6 2 2" xfId="15047" xr:uid="{5A497327-5E7C-4A4F-9403-F90D2830D95E}"/>
    <cellStyle name="20% - Accent4 2 2 2 6 3" xfId="10829" xr:uid="{74802F56-65FF-418A-8393-C2A995AB73A6}"/>
    <cellStyle name="20% - Accent4 2 2 2 7" xfId="4531" xr:uid="{00000000-0005-0000-0000-0000F7010000}"/>
    <cellStyle name="20% - Accent4 2 2 2 7 2" xfId="12981" xr:uid="{420B9692-9592-479F-BD81-A523CB2EB767}"/>
    <cellStyle name="20% - Accent4 2 2 2 8" xfId="8763" xr:uid="{074870AE-C8CF-443D-AFB4-261E9A1B2B61}"/>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34853F2D-E88C-4309-9F39-E506ECAA87DD}"/>
    <cellStyle name="20% - Accent4 2 2 3 2 3" xfId="11321" xr:uid="{1084183F-D72C-4258-AE7F-F925460FFF93}"/>
    <cellStyle name="20% - Accent4 2 2 3 3" xfId="4944" xr:uid="{00000000-0005-0000-0000-0000FB010000}"/>
    <cellStyle name="20% - Accent4 2 2 3 3 2" xfId="13394" xr:uid="{71C7B54A-78CD-4029-9270-DA9450C5317B}"/>
    <cellStyle name="20% - Accent4 2 2 3 4" xfId="9176" xr:uid="{9D4559E5-8BE6-4251-9EAA-94F32A677D59}"/>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2A18E017-5DF9-41A5-8108-C44FD0915E28}"/>
    <cellStyle name="20% - Accent4 2 2 4 2 3" xfId="11734" xr:uid="{BDA4A0A5-2283-4E8C-9EA2-BE35C6C17F85}"/>
    <cellStyle name="20% - Accent4 2 2 4 3" xfId="5357" xr:uid="{00000000-0005-0000-0000-0000FF010000}"/>
    <cellStyle name="20% - Accent4 2 2 4 3 2" xfId="13807" xr:uid="{242C7A6B-04C5-4638-82A2-A690D89793BF}"/>
    <cellStyle name="20% - Accent4 2 2 4 4" xfId="9589" xr:uid="{DD07BCD9-E9F8-443E-B843-00FC7FA826FA}"/>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CFEB118F-CCDC-4DD4-B99F-7C431948393B}"/>
    <cellStyle name="20% - Accent4 2 2 5 2 3" xfId="12147" xr:uid="{D5910AE7-3839-4606-9740-0692E1B9BABE}"/>
    <cellStyle name="20% - Accent4 2 2 5 3" xfId="5770" xr:uid="{00000000-0005-0000-0000-000003020000}"/>
    <cellStyle name="20% - Accent4 2 2 5 3 2" xfId="14220" xr:uid="{DE88A78C-C704-4760-9726-75B7C331DA22}"/>
    <cellStyle name="20% - Accent4 2 2 5 4" xfId="10002" xr:uid="{D38E17E6-A98D-4EF9-A4D7-DC4B7ADBCFC4}"/>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CD25DE1B-93AF-412A-9E0E-DF52CFC82656}"/>
    <cellStyle name="20% - Accent4 2 2 6 2 3" xfId="12560" xr:uid="{AD25DDC9-ED69-4E15-8ED3-52E474685313}"/>
    <cellStyle name="20% - Accent4 2 2 6 3" xfId="6183" xr:uid="{00000000-0005-0000-0000-000007020000}"/>
    <cellStyle name="20% - Accent4 2 2 6 3 2" xfId="14633" xr:uid="{03C7C1EC-957F-43AF-A15F-7CB34FC4FD13}"/>
    <cellStyle name="20% - Accent4 2 2 6 4" xfId="10415" xr:uid="{8A34434A-2BCF-4E6F-A5B5-5C666E38455A}"/>
    <cellStyle name="20% - Accent4 2 2 7" xfId="2290" xr:uid="{00000000-0005-0000-0000-000008020000}"/>
    <cellStyle name="20% - Accent4 2 2 7 2" xfId="6596" xr:uid="{00000000-0005-0000-0000-000009020000}"/>
    <cellStyle name="20% - Accent4 2 2 7 2 2" xfId="15046" xr:uid="{668A4940-A5FD-42DD-8F5F-A7373CE34108}"/>
    <cellStyle name="20% - Accent4 2 2 7 3" xfId="10828" xr:uid="{85F2D2E2-BDC8-4F47-901D-CA688E9DD462}"/>
    <cellStyle name="20% - Accent4 2 2 8" xfId="4530" xr:uid="{00000000-0005-0000-0000-00000A020000}"/>
    <cellStyle name="20% - Accent4 2 2 8 2" xfId="12980" xr:uid="{E99232B9-B552-4239-8B3E-D3CA16FE6F92}"/>
    <cellStyle name="20% - Accent4 2 2 9" xfId="8762" xr:uid="{F6426C7A-0413-4C8C-A884-BBA5D59DB144}"/>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1EC6FD4C-91B9-481D-8E5D-15F3D8F518AD}"/>
    <cellStyle name="20% - Accent4 2 3 2 2 3" xfId="11323" xr:uid="{2560EC5A-0CF5-454B-ACDC-C2C3CBE8A887}"/>
    <cellStyle name="20% - Accent4 2 3 2 3" xfId="4946" xr:uid="{00000000-0005-0000-0000-00000F020000}"/>
    <cellStyle name="20% - Accent4 2 3 2 3 2" xfId="13396" xr:uid="{F250CBBD-5602-4C95-80B2-1D18618D431A}"/>
    <cellStyle name="20% - Accent4 2 3 2 4" xfId="9178" xr:uid="{FD4C332D-93F3-402F-8858-B1E12E1BB3FE}"/>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2B5B3007-6E92-4DA0-944E-42AD3ACF6FCA}"/>
    <cellStyle name="20% - Accent4 2 3 3 2 3" xfId="11736" xr:uid="{5EF5479F-627A-44C4-A08C-226831A2552F}"/>
    <cellStyle name="20% - Accent4 2 3 3 3" xfId="5359" xr:uid="{00000000-0005-0000-0000-000013020000}"/>
    <cellStyle name="20% - Accent4 2 3 3 3 2" xfId="13809" xr:uid="{095C1B23-52E6-4113-94CF-77340B9CF695}"/>
    <cellStyle name="20% - Accent4 2 3 3 4" xfId="9591" xr:uid="{2A44FEBA-236C-4292-9CEA-8BCB764B6078}"/>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7D8D24C7-31ED-469F-BEF1-BA42AC5D3692}"/>
    <cellStyle name="20% - Accent4 2 3 4 2 3" xfId="12149" xr:uid="{FADABEA2-58B3-45C3-9A6F-F6F91E024383}"/>
    <cellStyle name="20% - Accent4 2 3 4 3" xfId="5772" xr:uid="{00000000-0005-0000-0000-000017020000}"/>
    <cellStyle name="20% - Accent4 2 3 4 3 2" xfId="14222" xr:uid="{3E884537-3B7E-4EF2-9660-5574C6D56D15}"/>
    <cellStyle name="20% - Accent4 2 3 4 4" xfId="10004" xr:uid="{703E77C7-ADE7-456E-BB17-297A8D92B0D8}"/>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DBEA8AA2-95CE-4600-A7C7-130116EBEAC0}"/>
    <cellStyle name="20% - Accent4 2 3 5 2 3" xfId="12562" xr:uid="{D530B1C2-582D-4D76-B520-CB58B5E0288A}"/>
    <cellStyle name="20% - Accent4 2 3 5 3" xfId="6185" xr:uid="{00000000-0005-0000-0000-00001B020000}"/>
    <cellStyle name="20% - Accent4 2 3 5 3 2" xfId="14635" xr:uid="{9EA7330B-E193-476B-9496-AC5801E6217A}"/>
    <cellStyle name="20% - Accent4 2 3 5 4" xfId="10417" xr:uid="{B61C92C1-E2C2-4F76-A202-39A9803A9676}"/>
    <cellStyle name="20% - Accent4 2 3 6" xfId="2292" xr:uid="{00000000-0005-0000-0000-00001C020000}"/>
    <cellStyle name="20% - Accent4 2 3 6 2" xfId="6598" xr:uid="{00000000-0005-0000-0000-00001D020000}"/>
    <cellStyle name="20% - Accent4 2 3 6 2 2" xfId="15048" xr:uid="{B091B736-4CAF-4D93-A8C1-97280A03A95F}"/>
    <cellStyle name="20% - Accent4 2 3 6 3" xfId="10830" xr:uid="{43A7274A-F798-40BC-9662-587D7981D7D0}"/>
    <cellStyle name="20% - Accent4 2 3 7" xfId="4532" xr:uid="{00000000-0005-0000-0000-00001E020000}"/>
    <cellStyle name="20% - Accent4 2 3 7 2" xfId="12982" xr:uid="{05F2197D-0143-4D16-8AB2-D1F9C765A873}"/>
    <cellStyle name="20% - Accent4 2 3 8" xfId="8764" xr:uid="{AB3FACA9-361E-478B-B9BB-456913587251}"/>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43B346CC-744D-415A-A8B4-18DA4EA5956E}"/>
    <cellStyle name="20% - Accent4 2 4 2 3" xfId="11320" xr:uid="{E1F48762-DB93-453B-822A-17E770BE8838}"/>
    <cellStyle name="20% - Accent4 2 4 3" xfId="4943" xr:uid="{00000000-0005-0000-0000-000022020000}"/>
    <cellStyle name="20% - Accent4 2 4 3 2" xfId="13393" xr:uid="{8B55DC30-4A92-4275-8132-91CB8A9B9F6C}"/>
    <cellStyle name="20% - Accent4 2 4 4" xfId="9175" xr:uid="{7FEA56DF-0A63-478E-81A0-0D37F94F07A9}"/>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C6481FF7-8F78-4575-A296-1A0AAC681010}"/>
    <cellStyle name="20% - Accent4 2 5 2 3" xfId="11733" xr:uid="{1632A177-2C28-4DE4-9CF1-6E754EACEF1E}"/>
    <cellStyle name="20% - Accent4 2 5 3" xfId="5356" xr:uid="{00000000-0005-0000-0000-000026020000}"/>
    <cellStyle name="20% - Accent4 2 5 3 2" xfId="13806" xr:uid="{4A074156-ADF1-4078-880F-5CDF569A31B5}"/>
    <cellStyle name="20% - Accent4 2 5 4" xfId="9588" xr:uid="{50D4E1EF-F056-42A7-B579-1DF8F26AE044}"/>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DF4A289D-148E-4455-AF34-494C52010800}"/>
    <cellStyle name="20% - Accent4 2 6 2 3" xfId="12146" xr:uid="{526FEF99-7922-4B31-9700-ADD8023E1111}"/>
    <cellStyle name="20% - Accent4 2 6 3" xfId="5769" xr:uid="{00000000-0005-0000-0000-00002A020000}"/>
    <cellStyle name="20% - Accent4 2 6 3 2" xfId="14219" xr:uid="{171E3106-388A-4698-9BB5-D49DAF69ABB5}"/>
    <cellStyle name="20% - Accent4 2 6 4" xfId="10001" xr:uid="{7C7969D1-619B-4614-8570-519A288394C4}"/>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14D4E0C3-E304-4E5D-9464-4C5DE16BC75C}"/>
    <cellStyle name="20% - Accent4 2 7 2 3" xfId="12559" xr:uid="{2AF327DD-8A30-47CB-8F0F-FE14C8676A3F}"/>
    <cellStyle name="20% - Accent4 2 7 3" xfId="6182" xr:uid="{00000000-0005-0000-0000-00002E020000}"/>
    <cellStyle name="20% - Accent4 2 7 3 2" xfId="14632" xr:uid="{949277E1-3EA3-4715-8C8D-831B6C840063}"/>
    <cellStyle name="20% - Accent4 2 7 4" xfId="10414" xr:uid="{E094F699-21A6-40ED-8B9C-428F30A675B0}"/>
    <cellStyle name="20% - Accent4 2 8" xfId="2289" xr:uid="{00000000-0005-0000-0000-00002F020000}"/>
    <cellStyle name="20% - Accent4 2 8 2" xfId="6595" xr:uid="{00000000-0005-0000-0000-000030020000}"/>
    <cellStyle name="20% - Accent4 2 8 2 2" xfId="15045" xr:uid="{195B1DB3-D6C4-4D15-B2D1-A209785C6AF3}"/>
    <cellStyle name="20% - Accent4 2 8 3" xfId="10827" xr:uid="{5BFD3C5C-669A-4B08-9D92-C92E17F371C3}"/>
    <cellStyle name="20% - Accent4 2 9" xfId="4529" xr:uid="{00000000-0005-0000-0000-000031020000}"/>
    <cellStyle name="20% - Accent4 2 9 2" xfId="12979" xr:uid="{35CC96AF-412B-49AE-B5D6-027128615A38}"/>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F3AFA948-204D-44C8-85E2-34FBEA7168F2}"/>
    <cellStyle name="20% - Accent4 3 2 2 2 3" xfId="11325" xr:uid="{05316E36-0F2E-4140-A9D3-7A2C82E50B52}"/>
    <cellStyle name="20% - Accent4 3 2 2 3" xfId="4948" xr:uid="{00000000-0005-0000-0000-000037020000}"/>
    <cellStyle name="20% - Accent4 3 2 2 3 2" xfId="13398" xr:uid="{DFCC455B-B57B-44C6-A8DC-390FCECBF9A6}"/>
    <cellStyle name="20% - Accent4 3 2 2 4" xfId="9180" xr:uid="{9D31AA69-03F7-4AEE-B842-F8BDC38B5F47}"/>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D9106C5E-C9FC-4FAD-A1C2-94CA703A9C1E}"/>
    <cellStyle name="20% - Accent4 3 2 3 2 3" xfId="11738" xr:uid="{97252006-F279-40EA-AB94-B5E83A898A5C}"/>
    <cellStyle name="20% - Accent4 3 2 3 3" xfId="5361" xr:uid="{00000000-0005-0000-0000-00003B020000}"/>
    <cellStyle name="20% - Accent4 3 2 3 3 2" xfId="13811" xr:uid="{22F3D882-98DE-4D20-82A5-4441DBB9B1C1}"/>
    <cellStyle name="20% - Accent4 3 2 3 4" xfId="9593" xr:uid="{934C20A6-1709-4E50-A081-E024436B4153}"/>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8A7902E2-700B-4BC2-953A-FC93C172F25B}"/>
    <cellStyle name="20% - Accent4 3 2 4 2 3" xfId="12151" xr:uid="{8456A4A9-ACB8-4A70-B902-09DE3B2CE19E}"/>
    <cellStyle name="20% - Accent4 3 2 4 3" xfId="5774" xr:uid="{00000000-0005-0000-0000-00003F020000}"/>
    <cellStyle name="20% - Accent4 3 2 4 3 2" xfId="14224" xr:uid="{EEE07D90-7B14-4FC6-8793-24E88A80C4B9}"/>
    <cellStyle name="20% - Accent4 3 2 4 4" xfId="10006" xr:uid="{8C8825A8-125B-4316-9761-B52698223DA4}"/>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2752DEA1-1CA8-47A1-B620-B3773337A9A1}"/>
    <cellStyle name="20% - Accent4 3 2 5 2 3" xfId="12564" xr:uid="{A293BF79-8BE9-42AF-A8AE-860EE49A5AA0}"/>
    <cellStyle name="20% - Accent4 3 2 5 3" xfId="6187" xr:uid="{00000000-0005-0000-0000-000043020000}"/>
    <cellStyle name="20% - Accent4 3 2 5 3 2" xfId="14637" xr:uid="{903A1B08-5B25-447F-B11A-3737D1118E5B}"/>
    <cellStyle name="20% - Accent4 3 2 5 4" xfId="10419" xr:uid="{B3D037A9-B1F9-4AEC-BE36-94FC14DC5AAD}"/>
    <cellStyle name="20% - Accent4 3 2 6" xfId="2294" xr:uid="{00000000-0005-0000-0000-000044020000}"/>
    <cellStyle name="20% - Accent4 3 2 6 2" xfId="6600" xr:uid="{00000000-0005-0000-0000-000045020000}"/>
    <cellStyle name="20% - Accent4 3 2 6 2 2" xfId="15050" xr:uid="{90DC4B34-A157-4C65-ADAA-849AA7448497}"/>
    <cellStyle name="20% - Accent4 3 2 6 3" xfId="10832" xr:uid="{52A1F168-7D85-42B5-8685-2E4844106282}"/>
    <cellStyle name="20% - Accent4 3 2 7" xfId="4534" xr:uid="{00000000-0005-0000-0000-000046020000}"/>
    <cellStyle name="20% - Accent4 3 2 7 2" xfId="12984" xr:uid="{677BD59A-E12D-480E-96CE-5047474C5C36}"/>
    <cellStyle name="20% - Accent4 3 2 8" xfId="8766" xr:uid="{5E2FF8F2-FAE1-44F2-AB41-7C538821EC6A}"/>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D5548E89-B591-49FE-9B57-D313002A7C12}"/>
    <cellStyle name="20% - Accent4 3 3 2 3" xfId="11324" xr:uid="{71494041-0003-4B9B-AB83-D8ACA95B054B}"/>
    <cellStyle name="20% - Accent4 3 3 3" xfId="4947" xr:uid="{00000000-0005-0000-0000-00004A020000}"/>
    <cellStyle name="20% - Accent4 3 3 3 2" xfId="13397" xr:uid="{13C18DA7-7B82-4F9E-A995-2347408E6874}"/>
    <cellStyle name="20% - Accent4 3 3 4" xfId="9179" xr:uid="{DEB39AFA-835A-4CCF-9476-9BEA40C78EE4}"/>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648CAFFA-FDFA-4068-B156-377810C7B070}"/>
    <cellStyle name="20% - Accent4 3 4 2 3" xfId="11737" xr:uid="{AAE9B87F-E013-4155-BDFF-F2F9A57AF6D3}"/>
    <cellStyle name="20% - Accent4 3 4 3" xfId="5360" xr:uid="{00000000-0005-0000-0000-00004E020000}"/>
    <cellStyle name="20% - Accent4 3 4 3 2" xfId="13810" xr:uid="{9458BED6-A8F3-4970-A3D5-66963DE2EAE8}"/>
    <cellStyle name="20% - Accent4 3 4 4" xfId="9592" xr:uid="{6A1325B9-D3D7-4DD2-8424-5F8A7E7BB2E1}"/>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0E8AFD1B-06A5-406A-B379-E79DB008B5A1}"/>
    <cellStyle name="20% - Accent4 3 5 2 3" xfId="12150" xr:uid="{C41A2948-462E-46BD-93D5-31EA5C701F50}"/>
    <cellStyle name="20% - Accent4 3 5 3" xfId="5773" xr:uid="{00000000-0005-0000-0000-000052020000}"/>
    <cellStyle name="20% - Accent4 3 5 3 2" xfId="14223" xr:uid="{6523C050-2534-47B7-A1CB-13B2C1B7146C}"/>
    <cellStyle name="20% - Accent4 3 5 4" xfId="10005" xr:uid="{F0952F0B-3A38-4582-AA04-D5BA76B32EA8}"/>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E41FEAF4-A254-4460-B092-5F50408464D4}"/>
    <cellStyle name="20% - Accent4 3 6 2 3" xfId="12563" xr:uid="{11E6FE87-5D18-4A21-8B2A-460B87FBB0D4}"/>
    <cellStyle name="20% - Accent4 3 6 3" xfId="6186" xr:uid="{00000000-0005-0000-0000-000056020000}"/>
    <cellStyle name="20% - Accent4 3 6 3 2" xfId="14636" xr:uid="{3BB0A1F6-87F2-484F-8516-382DF9DE5940}"/>
    <cellStyle name="20% - Accent4 3 6 4" xfId="10418" xr:uid="{A2834F6D-6E9D-4B5C-A17C-A78ABE30F220}"/>
    <cellStyle name="20% - Accent4 3 7" xfId="2293" xr:uid="{00000000-0005-0000-0000-000057020000}"/>
    <cellStyle name="20% - Accent4 3 7 2" xfId="6599" xr:uid="{00000000-0005-0000-0000-000058020000}"/>
    <cellStyle name="20% - Accent4 3 7 2 2" xfId="15049" xr:uid="{6E400D9D-F623-4C46-A2C1-23A424951DD0}"/>
    <cellStyle name="20% - Accent4 3 7 3" xfId="10831" xr:uid="{35E78FBD-9D66-4A7A-9424-D1D1A87CFF30}"/>
    <cellStyle name="20% - Accent4 3 8" xfId="4533" xr:uid="{00000000-0005-0000-0000-000059020000}"/>
    <cellStyle name="20% - Accent4 3 8 2" xfId="12983" xr:uid="{95EC1170-A918-4F6B-84D4-9511DCC2876C}"/>
    <cellStyle name="20% - Accent4 3 9" xfId="8765" xr:uid="{7D65EE78-F385-412F-A69E-13780372623B}"/>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28BA4C0F-2993-4B48-A61F-B971863BFF9A}"/>
    <cellStyle name="20% - Accent4 4 2 2 3" xfId="11326" xr:uid="{6788B722-4AB9-4AA6-B70B-4649CB5F15A1}"/>
    <cellStyle name="20% - Accent4 4 2 3" xfId="4949" xr:uid="{00000000-0005-0000-0000-00005E020000}"/>
    <cellStyle name="20% - Accent4 4 2 3 2" xfId="13399" xr:uid="{D7442D98-C0AB-4640-8AEA-BDD678F8E505}"/>
    <cellStyle name="20% - Accent4 4 2 4" xfId="9181" xr:uid="{71343C09-EA80-4516-83F0-3D75B0595588}"/>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BA9D119F-08C0-46E5-B528-94A80A45B7FA}"/>
    <cellStyle name="20% - Accent4 4 3 2 3" xfId="11739" xr:uid="{82BE590F-6465-463E-9D81-8846A15058BB}"/>
    <cellStyle name="20% - Accent4 4 3 3" xfId="5362" xr:uid="{00000000-0005-0000-0000-000062020000}"/>
    <cellStyle name="20% - Accent4 4 3 3 2" xfId="13812" xr:uid="{A9918005-64AB-469C-B154-E5EE2674A80A}"/>
    <cellStyle name="20% - Accent4 4 3 4" xfId="9594" xr:uid="{83EE3E9C-E96B-404E-8079-5DE7F10B91CD}"/>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FF47B407-2FE9-4D24-9D95-136CE8D9507A}"/>
    <cellStyle name="20% - Accent4 4 4 2 3" xfId="12152" xr:uid="{A1525F42-4194-4585-8A11-F99C84D5F4BD}"/>
    <cellStyle name="20% - Accent4 4 4 3" xfId="5775" xr:uid="{00000000-0005-0000-0000-000066020000}"/>
    <cellStyle name="20% - Accent4 4 4 3 2" xfId="14225" xr:uid="{76E1195C-5002-4D79-86B3-44732C9A70B2}"/>
    <cellStyle name="20% - Accent4 4 4 4" xfId="10007" xr:uid="{B9471E1F-5364-4FD8-B49F-F4B7B1C81372}"/>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9983A4EB-4360-4AB1-94C1-3C8CAF65E5C3}"/>
    <cellStyle name="20% - Accent4 4 5 2 3" xfId="12565" xr:uid="{D2A46D70-FA99-455E-A550-A2D9E9CED50A}"/>
    <cellStyle name="20% - Accent4 4 5 3" xfId="6188" xr:uid="{00000000-0005-0000-0000-00006A020000}"/>
    <cellStyle name="20% - Accent4 4 5 3 2" xfId="14638" xr:uid="{1CE054C8-70D5-45C3-9EEB-41431C2FFC44}"/>
    <cellStyle name="20% - Accent4 4 5 4" xfId="10420" xr:uid="{6D8C3EF1-0727-4689-AF09-D70310974802}"/>
    <cellStyle name="20% - Accent4 4 6" xfId="2295" xr:uid="{00000000-0005-0000-0000-00006B020000}"/>
    <cellStyle name="20% - Accent4 4 6 2" xfId="6601" xr:uid="{00000000-0005-0000-0000-00006C020000}"/>
    <cellStyle name="20% - Accent4 4 6 2 2" xfId="15051" xr:uid="{EF11D4A7-2CAA-4CDF-965B-6FA2F0A9F795}"/>
    <cellStyle name="20% - Accent4 4 6 3" xfId="10833" xr:uid="{20F0E52B-D3CB-4097-BA8E-BEDC56956E25}"/>
    <cellStyle name="20% - Accent4 4 7" xfId="4535" xr:uid="{00000000-0005-0000-0000-00006D020000}"/>
    <cellStyle name="20% - Accent4 4 7 2" xfId="12985" xr:uid="{7D441C99-B80D-4437-9488-ED4DD5BE8D87}"/>
    <cellStyle name="20% - Accent4 4 8" xfId="8767" xr:uid="{6998E6EE-031C-4C6C-8D49-5F234239E397}"/>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01E6E1B1-06AF-44A6-B042-2A96B06C4193}"/>
    <cellStyle name="20% - Accent4 5 2 3" xfId="11319" xr:uid="{31D5FD7A-7D6B-49BD-B8AB-48F61A1FC210}"/>
    <cellStyle name="20% - Accent4 5 3" xfId="4942" xr:uid="{00000000-0005-0000-0000-000071020000}"/>
    <cellStyle name="20% - Accent4 5 3 2" xfId="13392" xr:uid="{80320B6B-487B-411D-B44F-D3E68F770D77}"/>
    <cellStyle name="20% - Accent4 5 4" xfId="9174" xr:uid="{653FC61E-EAAB-4ADD-8B24-3B9D02BC7E51}"/>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ACA10C77-AC41-4AF7-A4F7-F8B09DE89EE8}"/>
    <cellStyle name="20% - Accent4 6 2 3" xfId="11732" xr:uid="{49DF7F9E-40B0-43D8-AE2A-23C8F695206B}"/>
    <cellStyle name="20% - Accent4 6 3" xfId="5355" xr:uid="{00000000-0005-0000-0000-000075020000}"/>
    <cellStyle name="20% - Accent4 6 3 2" xfId="13805" xr:uid="{1A991BFC-75D7-4B93-8C35-59C502EEDB6C}"/>
    <cellStyle name="20% - Accent4 6 4" xfId="9587" xr:uid="{C246D514-6E34-450A-94D9-5072ABDE1F63}"/>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EA7A4FFA-ADC9-42C4-B772-6FA773F1A28F}"/>
    <cellStyle name="20% - Accent4 7 2 3" xfId="12145" xr:uid="{F7D66169-D1D2-4640-BFEF-26BE21517B5D}"/>
    <cellStyle name="20% - Accent4 7 3" xfId="5768" xr:uid="{00000000-0005-0000-0000-000079020000}"/>
    <cellStyle name="20% - Accent4 7 3 2" xfId="14218" xr:uid="{5E07AF56-9392-4106-8064-B88717844932}"/>
    <cellStyle name="20% - Accent4 7 4" xfId="10000" xr:uid="{360A2360-4007-45DE-8885-A39487674396}"/>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7D9BAFE3-34ED-4300-A3AE-46298EC7D026}"/>
    <cellStyle name="20% - Accent4 8 2 3" xfId="12558" xr:uid="{BB9B710E-BE51-4214-8314-DEC3BAB8A018}"/>
    <cellStyle name="20% - Accent4 8 3" xfId="6181" xr:uid="{00000000-0005-0000-0000-00007D020000}"/>
    <cellStyle name="20% - Accent4 8 3 2" xfId="14631" xr:uid="{A974DD39-07B5-4CEA-BB85-6F6B4EF24FF8}"/>
    <cellStyle name="20% - Accent4 8 4" xfId="10413" xr:uid="{3EE15C54-D73F-412F-98D0-9F5E58F4B4CE}"/>
    <cellStyle name="20% - Accent4 9" xfId="2288" xr:uid="{00000000-0005-0000-0000-00007E020000}"/>
    <cellStyle name="20% - Accent4 9 2" xfId="6594" xr:uid="{00000000-0005-0000-0000-00007F020000}"/>
    <cellStyle name="20% - Accent4 9 2 2" xfId="15044" xr:uid="{DD4F3276-6C5B-41B7-B068-77284CF28B77}"/>
    <cellStyle name="20% - Accent4 9 3" xfId="10826" xr:uid="{EA792281-89CC-42FF-893C-C7484A477950}"/>
    <cellStyle name="20% - Accent5" xfId="33" builtinId="46" customBuiltin="1"/>
    <cellStyle name="20% - Accent5 10" xfId="4536" xr:uid="{00000000-0005-0000-0000-000081020000}"/>
    <cellStyle name="20% - Accent5 10 2" xfId="12986" xr:uid="{8EBA7C59-6788-4BD2-8490-CC72BFF6AF6C}"/>
    <cellStyle name="20% - Accent5 11" xfId="8768" xr:uid="{A9D6804B-4F0E-4985-B484-58D40AD458FB}"/>
    <cellStyle name="20% - Accent5 2" xfId="34" xr:uid="{00000000-0005-0000-0000-000082020000}"/>
    <cellStyle name="20% - Accent5 2 10" xfId="8769" xr:uid="{DD0050AF-0FA8-46DC-A766-8D99826ECC6B}"/>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44822072-F308-4F86-A33D-810F5C5D114C}"/>
    <cellStyle name="20% - Accent5 2 2 2 2 2 3" xfId="11330" xr:uid="{70307E04-A457-4B88-A404-41C527689D73}"/>
    <cellStyle name="20% - Accent5 2 2 2 2 3" xfId="4953" xr:uid="{00000000-0005-0000-0000-000088020000}"/>
    <cellStyle name="20% - Accent5 2 2 2 2 3 2" xfId="13403" xr:uid="{62AA81E7-68C0-4DA1-87AD-5F770C1571B8}"/>
    <cellStyle name="20% - Accent5 2 2 2 2 4" xfId="9185" xr:uid="{C3033988-56C9-4CAB-A2B4-01FC9F48BEEE}"/>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B58D31D3-1612-4D06-A93D-0758C2DACD04}"/>
    <cellStyle name="20% - Accent5 2 2 2 3 2 3" xfId="11743" xr:uid="{F1E8266B-3CC4-40D3-9E73-377CBBA4BA5B}"/>
    <cellStyle name="20% - Accent5 2 2 2 3 3" xfId="5366" xr:uid="{00000000-0005-0000-0000-00008C020000}"/>
    <cellStyle name="20% - Accent5 2 2 2 3 3 2" xfId="13816" xr:uid="{D67CA96B-3275-4E8D-A877-A567BB9B5EF9}"/>
    <cellStyle name="20% - Accent5 2 2 2 3 4" xfId="9598" xr:uid="{C96AE261-AD0F-45D3-9AF2-CA97947872DC}"/>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D26CF633-9F70-430E-8EDA-D7BAFE67551A}"/>
    <cellStyle name="20% - Accent5 2 2 2 4 2 3" xfId="12156" xr:uid="{40808C8A-96BC-476C-9282-1054B14481C7}"/>
    <cellStyle name="20% - Accent5 2 2 2 4 3" xfId="5779" xr:uid="{00000000-0005-0000-0000-000090020000}"/>
    <cellStyle name="20% - Accent5 2 2 2 4 3 2" xfId="14229" xr:uid="{18176D0D-652D-47F2-A9D2-F814D6DFF795}"/>
    <cellStyle name="20% - Accent5 2 2 2 4 4" xfId="10011" xr:uid="{4011AA3E-3FD0-4177-B223-6F2BB313AF38}"/>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B63BACF5-D1B9-4A10-A4A9-32A6675206F2}"/>
    <cellStyle name="20% - Accent5 2 2 2 5 2 3" xfId="12569" xr:uid="{2D3448E4-6BED-4FF4-AA8D-160203D12B89}"/>
    <cellStyle name="20% - Accent5 2 2 2 5 3" xfId="6192" xr:uid="{00000000-0005-0000-0000-000094020000}"/>
    <cellStyle name="20% - Accent5 2 2 2 5 3 2" xfId="14642" xr:uid="{23CCBC13-56C1-40B5-BB95-D9A7BC25A388}"/>
    <cellStyle name="20% - Accent5 2 2 2 5 4" xfId="10424" xr:uid="{1894E65E-6FC1-4BEA-90B6-1964F50B058B}"/>
    <cellStyle name="20% - Accent5 2 2 2 6" xfId="2299" xr:uid="{00000000-0005-0000-0000-000095020000}"/>
    <cellStyle name="20% - Accent5 2 2 2 6 2" xfId="6605" xr:uid="{00000000-0005-0000-0000-000096020000}"/>
    <cellStyle name="20% - Accent5 2 2 2 6 2 2" xfId="15055" xr:uid="{394A284A-FF6A-49A1-8293-7DB21A2E496F}"/>
    <cellStyle name="20% - Accent5 2 2 2 6 3" xfId="10837" xr:uid="{F1D43F72-F29F-4402-8AB8-7A991A2F98C2}"/>
    <cellStyle name="20% - Accent5 2 2 2 7" xfId="4539" xr:uid="{00000000-0005-0000-0000-000097020000}"/>
    <cellStyle name="20% - Accent5 2 2 2 7 2" xfId="12989" xr:uid="{267EE3B2-E7DF-47C7-8D04-885AE7C87B92}"/>
    <cellStyle name="20% - Accent5 2 2 2 8" xfId="8771" xr:uid="{E53C2087-A670-4380-9D52-6B7D0DE82DC3}"/>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44F2D972-6E94-4960-A47C-D00677479683}"/>
    <cellStyle name="20% - Accent5 2 2 3 2 3" xfId="11329" xr:uid="{FD01AAA9-7DCD-4BAC-96C3-E470DC73ED68}"/>
    <cellStyle name="20% - Accent5 2 2 3 3" xfId="4952" xr:uid="{00000000-0005-0000-0000-00009B020000}"/>
    <cellStyle name="20% - Accent5 2 2 3 3 2" xfId="13402" xr:uid="{B06CBA0A-29C5-4D36-BE44-1D5B61282378}"/>
    <cellStyle name="20% - Accent5 2 2 3 4" xfId="9184" xr:uid="{A76E1571-CC5F-4C72-A88F-EE0DC77E8662}"/>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808BD5FA-022F-46BB-8F71-5CC16EA257A8}"/>
    <cellStyle name="20% - Accent5 2 2 4 2 3" xfId="11742" xr:uid="{68956364-7408-4F40-BE84-B851DBBC97D3}"/>
    <cellStyle name="20% - Accent5 2 2 4 3" xfId="5365" xr:uid="{00000000-0005-0000-0000-00009F020000}"/>
    <cellStyle name="20% - Accent5 2 2 4 3 2" xfId="13815" xr:uid="{A13E85E4-0722-4400-8097-C15E3FB6474B}"/>
    <cellStyle name="20% - Accent5 2 2 4 4" xfId="9597" xr:uid="{2E41459E-11D0-43D4-9290-8EDE8E855234}"/>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57263934-98D7-482B-A6F2-AB427C0AC8EF}"/>
    <cellStyle name="20% - Accent5 2 2 5 2 3" xfId="12155" xr:uid="{A998E9ED-54DA-4CE7-B947-88B2EC4F70F0}"/>
    <cellStyle name="20% - Accent5 2 2 5 3" xfId="5778" xr:uid="{00000000-0005-0000-0000-0000A3020000}"/>
    <cellStyle name="20% - Accent5 2 2 5 3 2" xfId="14228" xr:uid="{704E86B0-0870-4D3B-8FFD-C5A3CB76648B}"/>
    <cellStyle name="20% - Accent5 2 2 5 4" xfId="10010" xr:uid="{D757F69F-177D-45C8-8A6A-5F84D38A7FD0}"/>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2D012424-46B0-435A-83F1-0A176D126479}"/>
    <cellStyle name="20% - Accent5 2 2 6 2 3" xfId="12568" xr:uid="{B6A00201-FA95-4255-B03E-22AF33164A38}"/>
    <cellStyle name="20% - Accent5 2 2 6 3" xfId="6191" xr:uid="{00000000-0005-0000-0000-0000A7020000}"/>
    <cellStyle name="20% - Accent5 2 2 6 3 2" xfId="14641" xr:uid="{E31AAB28-E7B7-41FB-804D-29C832D3E4CC}"/>
    <cellStyle name="20% - Accent5 2 2 6 4" xfId="10423" xr:uid="{0F95F8EB-051D-4B3F-B009-6FF7BC9B9DFC}"/>
    <cellStyle name="20% - Accent5 2 2 7" xfId="2298" xr:uid="{00000000-0005-0000-0000-0000A8020000}"/>
    <cellStyle name="20% - Accent5 2 2 7 2" xfId="6604" xr:uid="{00000000-0005-0000-0000-0000A9020000}"/>
    <cellStyle name="20% - Accent5 2 2 7 2 2" xfId="15054" xr:uid="{9049D50D-EA78-4051-BA52-F72090934A0D}"/>
    <cellStyle name="20% - Accent5 2 2 7 3" xfId="10836" xr:uid="{70F211F1-FF5F-4EE2-BFC6-70D717B4F10A}"/>
    <cellStyle name="20% - Accent5 2 2 8" xfId="4538" xr:uid="{00000000-0005-0000-0000-0000AA020000}"/>
    <cellStyle name="20% - Accent5 2 2 8 2" xfId="12988" xr:uid="{B9270D95-9592-4E42-B52D-039D6D994D54}"/>
    <cellStyle name="20% - Accent5 2 2 9" xfId="8770" xr:uid="{AD011E1D-6EAD-4061-AAC8-665D1D9A1FA8}"/>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8F9BBDF8-5AE5-41E9-B011-71F3900E2F43}"/>
    <cellStyle name="20% - Accent5 2 3 2 2 3" xfId="11331" xr:uid="{4EC5E988-4E99-4951-9654-E3B6881F44D1}"/>
    <cellStyle name="20% - Accent5 2 3 2 3" xfId="4954" xr:uid="{00000000-0005-0000-0000-0000AF020000}"/>
    <cellStyle name="20% - Accent5 2 3 2 3 2" xfId="13404" xr:uid="{C2D9F905-F72F-4B4C-88EF-30A8C251FCA7}"/>
    <cellStyle name="20% - Accent5 2 3 2 4" xfId="9186" xr:uid="{E75812C9-F6E9-48B5-B1B2-1C1F38A94B00}"/>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918BA186-3303-40C7-ACE8-D9FDCBCA4FD0}"/>
    <cellStyle name="20% - Accent5 2 3 3 2 3" xfId="11744" xr:uid="{00FF3558-B6B0-4217-A084-A62C2F1E83FC}"/>
    <cellStyle name="20% - Accent5 2 3 3 3" xfId="5367" xr:uid="{00000000-0005-0000-0000-0000B3020000}"/>
    <cellStyle name="20% - Accent5 2 3 3 3 2" xfId="13817" xr:uid="{A1DF7687-9872-4ACD-BD2D-6EBF0CBDE8AC}"/>
    <cellStyle name="20% - Accent5 2 3 3 4" xfId="9599" xr:uid="{A54F0F8D-24D2-4B92-B227-A0725E480A14}"/>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D2674737-16A5-4FDC-ACCF-12E9C7CCAE90}"/>
    <cellStyle name="20% - Accent5 2 3 4 2 3" xfId="12157" xr:uid="{360A7907-9D7C-43B9-8F8C-CA1FA21808CD}"/>
    <cellStyle name="20% - Accent5 2 3 4 3" xfId="5780" xr:uid="{00000000-0005-0000-0000-0000B7020000}"/>
    <cellStyle name="20% - Accent5 2 3 4 3 2" xfId="14230" xr:uid="{D804F7A3-AE4A-4F52-9D23-1CEAB4FBF117}"/>
    <cellStyle name="20% - Accent5 2 3 4 4" xfId="10012" xr:uid="{655230B2-0B9F-4A11-96B4-67760923C486}"/>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65172FFE-4F0A-4609-A7A2-A47D7B960301}"/>
    <cellStyle name="20% - Accent5 2 3 5 2 3" xfId="12570" xr:uid="{8F852BE5-E460-4B22-9789-8BA3D477EB00}"/>
    <cellStyle name="20% - Accent5 2 3 5 3" xfId="6193" xr:uid="{00000000-0005-0000-0000-0000BB020000}"/>
    <cellStyle name="20% - Accent5 2 3 5 3 2" xfId="14643" xr:uid="{CE424DC3-E07E-436F-AAF4-60BE914EC7E6}"/>
    <cellStyle name="20% - Accent5 2 3 5 4" xfId="10425" xr:uid="{0C7896C4-3FAF-4067-8044-6408E8D13FAE}"/>
    <cellStyle name="20% - Accent5 2 3 6" xfId="2300" xr:uid="{00000000-0005-0000-0000-0000BC020000}"/>
    <cellStyle name="20% - Accent5 2 3 6 2" xfId="6606" xr:uid="{00000000-0005-0000-0000-0000BD020000}"/>
    <cellStyle name="20% - Accent5 2 3 6 2 2" xfId="15056" xr:uid="{2B23B257-55FC-41B3-9851-D1A5D460F84E}"/>
    <cellStyle name="20% - Accent5 2 3 6 3" xfId="10838" xr:uid="{66C71EA4-57F1-4C84-91B3-E51670AC7C73}"/>
    <cellStyle name="20% - Accent5 2 3 7" xfId="4540" xr:uid="{00000000-0005-0000-0000-0000BE020000}"/>
    <cellStyle name="20% - Accent5 2 3 7 2" xfId="12990" xr:uid="{B569202B-843F-4DCD-81DB-8D95C36426A6}"/>
    <cellStyle name="20% - Accent5 2 3 8" xfId="8772" xr:uid="{0D153AF8-8768-48EE-A93B-1DFB4DE1106D}"/>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C7C9E543-A952-4447-B7F4-8D3ECD5E7EAA}"/>
    <cellStyle name="20% - Accent5 2 4 2 3" xfId="11328" xr:uid="{ED567705-9647-4F89-9BE5-4C9206A646F6}"/>
    <cellStyle name="20% - Accent5 2 4 3" xfId="4951" xr:uid="{00000000-0005-0000-0000-0000C2020000}"/>
    <cellStyle name="20% - Accent5 2 4 3 2" xfId="13401" xr:uid="{7E1B1998-7EF1-43E2-9A7F-B93BA0ED8199}"/>
    <cellStyle name="20% - Accent5 2 4 4" xfId="9183" xr:uid="{25217119-6A05-4626-8902-311C12A6F761}"/>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D7FC458C-1A66-41B2-B3F5-109ABF87D7C2}"/>
    <cellStyle name="20% - Accent5 2 5 2 3" xfId="11741" xr:uid="{277889B3-B9CE-411C-A6AA-C1900F054EE4}"/>
    <cellStyle name="20% - Accent5 2 5 3" xfId="5364" xr:uid="{00000000-0005-0000-0000-0000C6020000}"/>
    <cellStyle name="20% - Accent5 2 5 3 2" xfId="13814" xr:uid="{1BFF5A17-066E-4628-9EAE-0D3409CA529B}"/>
    <cellStyle name="20% - Accent5 2 5 4" xfId="9596" xr:uid="{C8F83F53-B8D6-401A-89B5-D0EDCEABC7DB}"/>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50118606-B375-45F3-9CC2-EA00EC240353}"/>
    <cellStyle name="20% - Accent5 2 6 2 3" xfId="12154" xr:uid="{6A530A29-CB5A-4660-9FBE-33140B06C5C6}"/>
    <cellStyle name="20% - Accent5 2 6 3" xfId="5777" xr:uid="{00000000-0005-0000-0000-0000CA020000}"/>
    <cellStyle name="20% - Accent5 2 6 3 2" xfId="14227" xr:uid="{1176EA53-A2FC-4066-B138-123341CCC81E}"/>
    <cellStyle name="20% - Accent5 2 6 4" xfId="10009" xr:uid="{AC1BA58E-4449-4FF5-8584-4A3E543EEF19}"/>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14C1244A-AD3E-488F-9DD4-837B0F420B1A}"/>
    <cellStyle name="20% - Accent5 2 7 2 3" xfId="12567" xr:uid="{6D8518FB-B077-4BE8-86BB-C9AD9CFA4774}"/>
    <cellStyle name="20% - Accent5 2 7 3" xfId="6190" xr:uid="{00000000-0005-0000-0000-0000CE020000}"/>
    <cellStyle name="20% - Accent5 2 7 3 2" xfId="14640" xr:uid="{28B62BF4-708B-4D56-AB03-A15F99390DB4}"/>
    <cellStyle name="20% - Accent5 2 7 4" xfId="10422" xr:uid="{80BDEC98-FC9B-4AE0-B6D6-ED89CEBAC243}"/>
    <cellStyle name="20% - Accent5 2 8" xfId="2297" xr:uid="{00000000-0005-0000-0000-0000CF020000}"/>
    <cellStyle name="20% - Accent5 2 8 2" xfId="6603" xr:uid="{00000000-0005-0000-0000-0000D0020000}"/>
    <cellStyle name="20% - Accent5 2 8 2 2" xfId="15053" xr:uid="{5643A896-5650-4C5D-A953-C9E5647A1CF1}"/>
    <cellStyle name="20% - Accent5 2 8 3" xfId="10835" xr:uid="{E26062A9-6991-4EBE-BDC7-894F5D6BAD3E}"/>
    <cellStyle name="20% - Accent5 2 9" xfId="4537" xr:uid="{00000000-0005-0000-0000-0000D1020000}"/>
    <cellStyle name="20% - Accent5 2 9 2" xfId="12987" xr:uid="{7A41922E-1F6C-4542-8FE5-B562CCBBE3AB}"/>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E7D67C53-0602-4E64-83C1-863358EF0380}"/>
    <cellStyle name="20% - Accent5 3 2 2 2 3" xfId="11333" xr:uid="{0466D6DE-AD7C-46FF-AA94-6E07AF771786}"/>
    <cellStyle name="20% - Accent5 3 2 2 3" xfId="4956" xr:uid="{00000000-0005-0000-0000-0000D7020000}"/>
    <cellStyle name="20% - Accent5 3 2 2 3 2" xfId="13406" xr:uid="{8CDAD6D6-A97D-46C3-B0C2-33581869EB48}"/>
    <cellStyle name="20% - Accent5 3 2 2 4" xfId="9188" xr:uid="{DD830F47-6506-4030-9694-D2C84AC8B205}"/>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F4F7E87C-9453-4A57-ACDC-4413E31748B6}"/>
    <cellStyle name="20% - Accent5 3 2 3 2 3" xfId="11746" xr:uid="{1C77ED61-A8B9-456D-9C74-FEF6400A67E3}"/>
    <cellStyle name="20% - Accent5 3 2 3 3" xfId="5369" xr:uid="{00000000-0005-0000-0000-0000DB020000}"/>
    <cellStyle name="20% - Accent5 3 2 3 3 2" xfId="13819" xr:uid="{A1A68EB2-9FAC-408C-8120-A98C23ACEBFD}"/>
    <cellStyle name="20% - Accent5 3 2 3 4" xfId="9601" xr:uid="{9F3A6D3F-29C0-42DC-94FB-AE8C17DC3412}"/>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1618EEA2-6B38-4BEF-BD02-80217F47C7D8}"/>
    <cellStyle name="20% - Accent5 3 2 4 2 3" xfId="12159" xr:uid="{C0E9E3B3-913A-4D44-9DFA-2CACB32E0147}"/>
    <cellStyle name="20% - Accent5 3 2 4 3" xfId="5782" xr:uid="{00000000-0005-0000-0000-0000DF020000}"/>
    <cellStyle name="20% - Accent5 3 2 4 3 2" xfId="14232" xr:uid="{B4913FF1-3BC1-477A-BC4B-72BEFCDDEEBC}"/>
    <cellStyle name="20% - Accent5 3 2 4 4" xfId="10014" xr:uid="{2BEC3BEA-3A1F-4D97-9956-59D7B5AD6676}"/>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FE773BD4-26B4-4EFC-A881-DEDB8F4DDB5F}"/>
    <cellStyle name="20% - Accent5 3 2 5 2 3" xfId="12572" xr:uid="{EE500D83-3E57-43BE-A18C-CC42DD4223DC}"/>
    <cellStyle name="20% - Accent5 3 2 5 3" xfId="6195" xr:uid="{00000000-0005-0000-0000-0000E3020000}"/>
    <cellStyle name="20% - Accent5 3 2 5 3 2" xfId="14645" xr:uid="{A7C9709A-C7C1-4657-B5D9-03182C3A0CAF}"/>
    <cellStyle name="20% - Accent5 3 2 5 4" xfId="10427" xr:uid="{49F11483-36DA-4F30-AA4E-B87915C02F1F}"/>
    <cellStyle name="20% - Accent5 3 2 6" xfId="2302" xr:uid="{00000000-0005-0000-0000-0000E4020000}"/>
    <cellStyle name="20% - Accent5 3 2 6 2" xfId="6608" xr:uid="{00000000-0005-0000-0000-0000E5020000}"/>
    <cellStyle name="20% - Accent5 3 2 6 2 2" xfId="15058" xr:uid="{57214C7C-3216-484A-B021-C489BB1C165B}"/>
    <cellStyle name="20% - Accent5 3 2 6 3" xfId="10840" xr:uid="{045CE68F-52CE-404D-818F-D025F9EE5123}"/>
    <cellStyle name="20% - Accent5 3 2 7" xfId="4542" xr:uid="{00000000-0005-0000-0000-0000E6020000}"/>
    <cellStyle name="20% - Accent5 3 2 7 2" xfId="12992" xr:uid="{F6295EB1-E9A4-4EA4-B976-AD6143A9BEAD}"/>
    <cellStyle name="20% - Accent5 3 2 8" xfId="8774" xr:uid="{04D6475F-DBC9-4D42-81D4-E71509D520BB}"/>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6D3C91EC-9CED-4113-BCA8-0C97E688E326}"/>
    <cellStyle name="20% - Accent5 3 3 2 3" xfId="11332" xr:uid="{93D64FD0-BC3C-424E-8678-E6B4044CF6A4}"/>
    <cellStyle name="20% - Accent5 3 3 3" xfId="4955" xr:uid="{00000000-0005-0000-0000-0000EA020000}"/>
    <cellStyle name="20% - Accent5 3 3 3 2" xfId="13405" xr:uid="{E60574DA-FB78-4775-AB9F-58AF1B5785E1}"/>
    <cellStyle name="20% - Accent5 3 3 4" xfId="9187" xr:uid="{08007D27-270B-4321-8881-1B43B2795C97}"/>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B8872963-E075-40A9-874C-71CBA7DD6276}"/>
    <cellStyle name="20% - Accent5 3 4 2 3" xfId="11745" xr:uid="{B3761DB3-2097-4371-9B2A-37319E94E888}"/>
    <cellStyle name="20% - Accent5 3 4 3" xfId="5368" xr:uid="{00000000-0005-0000-0000-0000EE020000}"/>
    <cellStyle name="20% - Accent5 3 4 3 2" xfId="13818" xr:uid="{B37D85A7-74D3-43CF-AE64-478C3637CD9B}"/>
    <cellStyle name="20% - Accent5 3 4 4" xfId="9600" xr:uid="{8A779800-B1A8-4E16-8E1C-0F174BACBD3D}"/>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D02E57B3-9478-4C5E-B679-68BDA3961243}"/>
    <cellStyle name="20% - Accent5 3 5 2 3" xfId="12158" xr:uid="{9724808D-A687-4BF9-98DB-B5162F45C196}"/>
    <cellStyle name="20% - Accent5 3 5 3" xfId="5781" xr:uid="{00000000-0005-0000-0000-0000F2020000}"/>
    <cellStyle name="20% - Accent5 3 5 3 2" xfId="14231" xr:uid="{D825E1A7-697E-44FE-8B7E-4517C8F093A4}"/>
    <cellStyle name="20% - Accent5 3 5 4" xfId="10013" xr:uid="{F02D287A-755C-437C-AFC6-0D8BF6159537}"/>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3B43B590-A12A-4F95-92A0-BBB6E9F25E80}"/>
    <cellStyle name="20% - Accent5 3 6 2 3" xfId="12571" xr:uid="{BE6C82A2-F49F-4B7E-9E02-97B32DFD46D2}"/>
    <cellStyle name="20% - Accent5 3 6 3" xfId="6194" xr:uid="{00000000-0005-0000-0000-0000F6020000}"/>
    <cellStyle name="20% - Accent5 3 6 3 2" xfId="14644" xr:uid="{347803C1-1CAE-48D2-84E5-7E962B0E6D0D}"/>
    <cellStyle name="20% - Accent5 3 6 4" xfId="10426" xr:uid="{217FC1DF-DD5E-4BC4-AF1D-89339B62E0D8}"/>
    <cellStyle name="20% - Accent5 3 7" xfId="2301" xr:uid="{00000000-0005-0000-0000-0000F7020000}"/>
    <cellStyle name="20% - Accent5 3 7 2" xfId="6607" xr:uid="{00000000-0005-0000-0000-0000F8020000}"/>
    <cellStyle name="20% - Accent5 3 7 2 2" xfId="15057" xr:uid="{F47CF223-8436-4674-902A-86E16A28B9B7}"/>
    <cellStyle name="20% - Accent5 3 7 3" xfId="10839" xr:uid="{BD590925-D2B7-4F55-B785-1B79294A880B}"/>
    <cellStyle name="20% - Accent5 3 8" xfId="4541" xr:uid="{00000000-0005-0000-0000-0000F9020000}"/>
    <cellStyle name="20% - Accent5 3 8 2" xfId="12991" xr:uid="{1B144D41-B050-4527-BD1E-5CE70ABA783A}"/>
    <cellStyle name="20% - Accent5 3 9" xfId="8773" xr:uid="{039BDAA8-7328-4AF5-AAC0-C3238B31A20A}"/>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101C7FFC-9E7D-48C3-A1F7-327CA1F036EE}"/>
    <cellStyle name="20% - Accent5 4 2 2 3" xfId="11334" xr:uid="{3BB3CE12-2513-4931-A764-74F254B1F8D4}"/>
    <cellStyle name="20% - Accent5 4 2 3" xfId="4957" xr:uid="{00000000-0005-0000-0000-0000FE020000}"/>
    <cellStyle name="20% - Accent5 4 2 3 2" xfId="13407" xr:uid="{A9987202-B491-4FFE-9E4D-BC9865833942}"/>
    <cellStyle name="20% - Accent5 4 2 4" xfId="9189" xr:uid="{01EFADF8-A84A-4247-B617-362F6846D837}"/>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06822E88-53A1-44C6-853F-8BC22241F829}"/>
    <cellStyle name="20% - Accent5 4 3 2 3" xfId="11747" xr:uid="{AB89FE63-EFFE-4985-A117-4C047DE0B639}"/>
    <cellStyle name="20% - Accent5 4 3 3" xfId="5370" xr:uid="{00000000-0005-0000-0000-000002030000}"/>
    <cellStyle name="20% - Accent5 4 3 3 2" xfId="13820" xr:uid="{E5D3F0C8-2D6D-467D-96A7-86A0F9B90302}"/>
    <cellStyle name="20% - Accent5 4 3 4" xfId="9602" xr:uid="{0D1D2F99-5D89-4315-B1B9-D0AB543D1626}"/>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08523600-B760-49F1-A031-F9B533C2EC9E}"/>
    <cellStyle name="20% - Accent5 4 4 2 3" xfId="12160" xr:uid="{0B5F87C4-8857-4E1D-8775-6D356FBB3E4D}"/>
    <cellStyle name="20% - Accent5 4 4 3" xfId="5783" xr:uid="{00000000-0005-0000-0000-000006030000}"/>
    <cellStyle name="20% - Accent5 4 4 3 2" xfId="14233" xr:uid="{245B3652-69C3-4AB6-849A-54452A769ED4}"/>
    <cellStyle name="20% - Accent5 4 4 4" xfId="10015" xr:uid="{36336F0B-AD7F-4A0D-B4AE-F9656690E00E}"/>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C7D89DCA-4B7D-4B6B-93D5-A79CA0F9AA54}"/>
    <cellStyle name="20% - Accent5 4 5 2 3" xfId="12573" xr:uid="{D877C4DD-C6C9-416C-9A89-24A01E28CD05}"/>
    <cellStyle name="20% - Accent5 4 5 3" xfId="6196" xr:uid="{00000000-0005-0000-0000-00000A030000}"/>
    <cellStyle name="20% - Accent5 4 5 3 2" xfId="14646" xr:uid="{0EDA2239-8D03-4F9D-9A6C-B05FBF686B33}"/>
    <cellStyle name="20% - Accent5 4 5 4" xfId="10428" xr:uid="{F7F0A7AB-435C-4536-8B1A-53E8CCB15CA2}"/>
    <cellStyle name="20% - Accent5 4 6" xfId="2303" xr:uid="{00000000-0005-0000-0000-00000B030000}"/>
    <cellStyle name="20% - Accent5 4 6 2" xfId="6609" xr:uid="{00000000-0005-0000-0000-00000C030000}"/>
    <cellStyle name="20% - Accent5 4 6 2 2" xfId="15059" xr:uid="{C65DA6DE-3096-40C5-9B3F-9F14F4640108}"/>
    <cellStyle name="20% - Accent5 4 6 3" xfId="10841" xr:uid="{55402A8A-35D1-42EA-AF98-025183039D80}"/>
    <cellStyle name="20% - Accent5 4 7" xfId="4543" xr:uid="{00000000-0005-0000-0000-00000D030000}"/>
    <cellStyle name="20% - Accent5 4 7 2" xfId="12993" xr:uid="{26B3AF0B-8E34-4FE7-9110-945CB1429F68}"/>
    <cellStyle name="20% - Accent5 4 8" xfId="8775" xr:uid="{74393A1B-87D3-4A19-8FF2-D8506D056821}"/>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0915FA96-171D-44C5-8CD4-D0FDE836FFFF}"/>
    <cellStyle name="20% - Accent5 5 2 3" xfId="11327" xr:uid="{3AAE24DB-3D13-482E-8462-3993ED1521E5}"/>
    <cellStyle name="20% - Accent5 5 3" xfId="4950" xr:uid="{00000000-0005-0000-0000-000011030000}"/>
    <cellStyle name="20% - Accent5 5 3 2" xfId="13400" xr:uid="{9B82C842-C03A-4C44-A59F-21103F57CF26}"/>
    <cellStyle name="20% - Accent5 5 4" xfId="9182" xr:uid="{BC62578A-9B82-4DF6-A003-0263652AC088}"/>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17201B99-B7E4-4D4B-855F-0D35F05749C7}"/>
    <cellStyle name="20% - Accent5 6 2 3" xfId="11740" xr:uid="{AB0B9530-CC85-4F67-8288-E9C63D0C312D}"/>
    <cellStyle name="20% - Accent5 6 3" xfId="5363" xr:uid="{00000000-0005-0000-0000-000015030000}"/>
    <cellStyle name="20% - Accent5 6 3 2" xfId="13813" xr:uid="{C9826232-F293-499E-9646-66C83CC6BA8D}"/>
    <cellStyle name="20% - Accent5 6 4" xfId="9595" xr:uid="{477002D0-CCC1-4243-AF74-1C19F4B80507}"/>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52D77FEE-D733-4CA6-91DA-B9148DFB1994}"/>
    <cellStyle name="20% - Accent5 7 2 3" xfId="12153" xr:uid="{AA8EB388-37FE-458B-B089-EDC827354D88}"/>
    <cellStyle name="20% - Accent5 7 3" xfId="5776" xr:uid="{00000000-0005-0000-0000-000019030000}"/>
    <cellStyle name="20% - Accent5 7 3 2" xfId="14226" xr:uid="{DF53DF82-D768-470F-B9CD-7812848420A5}"/>
    <cellStyle name="20% - Accent5 7 4" xfId="10008" xr:uid="{5683F37A-4EF9-4DEA-AA79-63676904DB07}"/>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DAE81186-FF8E-49A6-B12B-0E689A3B3A76}"/>
    <cellStyle name="20% - Accent5 8 2 3" xfId="12566" xr:uid="{493602C4-B6A0-436A-BE0A-3143729AAF0E}"/>
    <cellStyle name="20% - Accent5 8 3" xfId="6189" xr:uid="{00000000-0005-0000-0000-00001D030000}"/>
    <cellStyle name="20% - Accent5 8 3 2" xfId="14639" xr:uid="{A6A4C44A-0962-441D-A7F5-AA22E60D1C02}"/>
    <cellStyle name="20% - Accent5 8 4" xfId="10421" xr:uid="{53E2C8F1-F7F2-4C41-9E14-B21975F43B3E}"/>
    <cellStyle name="20% - Accent5 9" xfId="2296" xr:uid="{00000000-0005-0000-0000-00001E030000}"/>
    <cellStyle name="20% - Accent5 9 2" xfId="6602" xr:uid="{00000000-0005-0000-0000-00001F030000}"/>
    <cellStyle name="20% - Accent5 9 2 2" xfId="15052" xr:uid="{42F56990-D1E8-458F-B154-1F5D2582BD12}"/>
    <cellStyle name="20% - Accent5 9 3" xfId="10834" xr:uid="{9C8DC866-B218-4931-A8AB-1327810D6D0A}"/>
    <cellStyle name="20% - Accent6" xfId="41" builtinId="50" customBuiltin="1"/>
    <cellStyle name="20% - Accent6 10" xfId="4544" xr:uid="{00000000-0005-0000-0000-000021030000}"/>
    <cellStyle name="20% - Accent6 10 2" xfId="12994" xr:uid="{7069F940-8922-40F8-B18E-5859551965FA}"/>
    <cellStyle name="20% - Accent6 11" xfId="8776" xr:uid="{DBA0A18A-EED3-41D1-9B7F-1814BFA3BA9C}"/>
    <cellStyle name="20% - Accent6 2" xfId="42" xr:uid="{00000000-0005-0000-0000-000022030000}"/>
    <cellStyle name="20% - Accent6 2 10" xfId="8777" xr:uid="{00143587-66D8-4732-A21D-D7E40E137E0E}"/>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8AB1F03F-552B-4CF5-B329-E6C1338EAA13}"/>
    <cellStyle name="20% - Accent6 2 2 2 2 2 3" xfId="11338" xr:uid="{43B4E3F0-2BBA-460B-8E9E-25FF8FEE25D9}"/>
    <cellStyle name="20% - Accent6 2 2 2 2 3" xfId="4961" xr:uid="{00000000-0005-0000-0000-000028030000}"/>
    <cellStyle name="20% - Accent6 2 2 2 2 3 2" xfId="13411" xr:uid="{6FB3826C-3C48-4EA6-8C4F-CC8AAB9C7259}"/>
    <cellStyle name="20% - Accent6 2 2 2 2 4" xfId="9193" xr:uid="{1DCFDE1B-0639-4075-9D12-7EF1B293EE78}"/>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AC2E5365-1187-4558-B064-FD44B7713FCB}"/>
    <cellStyle name="20% - Accent6 2 2 2 3 2 3" xfId="11751" xr:uid="{76995B84-06C3-4FA3-AD2E-EBCE0D67E1F7}"/>
    <cellStyle name="20% - Accent6 2 2 2 3 3" xfId="5374" xr:uid="{00000000-0005-0000-0000-00002C030000}"/>
    <cellStyle name="20% - Accent6 2 2 2 3 3 2" xfId="13824" xr:uid="{D550995D-5A01-4568-B014-7E733DC08DBF}"/>
    <cellStyle name="20% - Accent6 2 2 2 3 4" xfId="9606" xr:uid="{460F461E-8DDB-4CA8-8441-150FB919ECFA}"/>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B8163EE0-880E-45F3-B765-111D0E8CC93A}"/>
    <cellStyle name="20% - Accent6 2 2 2 4 2 3" xfId="12164" xr:uid="{7DC4B7E3-E821-44ED-8B89-422636D8F6C7}"/>
    <cellStyle name="20% - Accent6 2 2 2 4 3" xfId="5787" xr:uid="{00000000-0005-0000-0000-000030030000}"/>
    <cellStyle name="20% - Accent6 2 2 2 4 3 2" xfId="14237" xr:uid="{64713B5D-5C03-48B9-B367-041CE3B679E1}"/>
    <cellStyle name="20% - Accent6 2 2 2 4 4" xfId="10019" xr:uid="{D7D99229-E0B5-4D80-97A6-DFE72F6E33B8}"/>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AA7C18AD-6AEE-4423-887D-6C54C0E6A54B}"/>
    <cellStyle name="20% - Accent6 2 2 2 5 2 3" xfId="12577" xr:uid="{669967E2-6B05-4614-98BE-450A659D4DC7}"/>
    <cellStyle name="20% - Accent6 2 2 2 5 3" xfId="6200" xr:uid="{00000000-0005-0000-0000-000034030000}"/>
    <cellStyle name="20% - Accent6 2 2 2 5 3 2" xfId="14650" xr:uid="{D1228F95-324B-4644-9CB5-97D306E2523F}"/>
    <cellStyle name="20% - Accent6 2 2 2 5 4" xfId="10432" xr:uid="{2C6459E7-1B11-4FFB-B5C9-15E217A3611E}"/>
    <cellStyle name="20% - Accent6 2 2 2 6" xfId="2307" xr:uid="{00000000-0005-0000-0000-000035030000}"/>
    <cellStyle name="20% - Accent6 2 2 2 6 2" xfId="6613" xr:uid="{00000000-0005-0000-0000-000036030000}"/>
    <cellStyle name="20% - Accent6 2 2 2 6 2 2" xfId="15063" xr:uid="{847DED90-6FD7-4DAB-AF2F-EE28C1C8D6A7}"/>
    <cellStyle name="20% - Accent6 2 2 2 6 3" xfId="10845" xr:uid="{D2A0D380-6F35-4E92-939F-57A3ECC96820}"/>
    <cellStyle name="20% - Accent6 2 2 2 7" xfId="4547" xr:uid="{00000000-0005-0000-0000-000037030000}"/>
    <cellStyle name="20% - Accent6 2 2 2 7 2" xfId="12997" xr:uid="{1D1C539A-EA05-4D07-9975-A30C33D44D72}"/>
    <cellStyle name="20% - Accent6 2 2 2 8" xfId="8779" xr:uid="{A9E56E6B-BA96-4934-80F6-8ADBAE5E91D3}"/>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42074702-45FC-4F91-B9D5-02AF69297A2A}"/>
    <cellStyle name="20% - Accent6 2 2 3 2 3" xfId="11337" xr:uid="{CF732759-BD60-4AF3-9F31-60BF4EF07B0D}"/>
    <cellStyle name="20% - Accent6 2 2 3 3" xfId="4960" xr:uid="{00000000-0005-0000-0000-00003B030000}"/>
    <cellStyle name="20% - Accent6 2 2 3 3 2" xfId="13410" xr:uid="{749534F3-8217-43F7-8EAF-6C49271F4AD3}"/>
    <cellStyle name="20% - Accent6 2 2 3 4" xfId="9192" xr:uid="{784E0154-6885-4365-A240-8510423A97D5}"/>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A6DEA223-9A58-4F8E-BD33-6B74A71C5A5E}"/>
    <cellStyle name="20% - Accent6 2 2 4 2 3" xfId="11750" xr:uid="{7F2A7B41-2DA4-46F3-ABA6-89D3A2D67FB9}"/>
    <cellStyle name="20% - Accent6 2 2 4 3" xfId="5373" xr:uid="{00000000-0005-0000-0000-00003F030000}"/>
    <cellStyle name="20% - Accent6 2 2 4 3 2" xfId="13823" xr:uid="{F4BEE8B6-5DBE-4FEF-AB9F-8A543BC12A85}"/>
    <cellStyle name="20% - Accent6 2 2 4 4" xfId="9605" xr:uid="{8834B925-4E94-413E-ADC5-190CF865E197}"/>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2A3D7C09-7574-42F2-9FDD-46409E53952A}"/>
    <cellStyle name="20% - Accent6 2 2 5 2 3" xfId="12163" xr:uid="{F6CF1643-D2A7-40D6-9C7E-02A67643DA94}"/>
    <cellStyle name="20% - Accent6 2 2 5 3" xfId="5786" xr:uid="{00000000-0005-0000-0000-000043030000}"/>
    <cellStyle name="20% - Accent6 2 2 5 3 2" xfId="14236" xr:uid="{300AFC7E-24BF-4D3D-A5C7-7B7BE3D35756}"/>
    <cellStyle name="20% - Accent6 2 2 5 4" xfId="10018" xr:uid="{E48B1006-2B0C-499C-94B0-2052468D6223}"/>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4374B8B2-5FD0-407F-B5F2-C86726ACDA09}"/>
    <cellStyle name="20% - Accent6 2 2 6 2 3" xfId="12576" xr:uid="{448B8F86-A517-4226-9141-001FB27F171F}"/>
    <cellStyle name="20% - Accent6 2 2 6 3" xfId="6199" xr:uid="{00000000-0005-0000-0000-000047030000}"/>
    <cellStyle name="20% - Accent6 2 2 6 3 2" xfId="14649" xr:uid="{97BFC231-210E-409B-93AD-C896698A1233}"/>
    <cellStyle name="20% - Accent6 2 2 6 4" xfId="10431" xr:uid="{DAF7CC43-E16F-4A0F-A57A-776CBCC54323}"/>
    <cellStyle name="20% - Accent6 2 2 7" xfId="2306" xr:uid="{00000000-0005-0000-0000-000048030000}"/>
    <cellStyle name="20% - Accent6 2 2 7 2" xfId="6612" xr:uid="{00000000-0005-0000-0000-000049030000}"/>
    <cellStyle name="20% - Accent6 2 2 7 2 2" xfId="15062" xr:uid="{91572203-D488-4DA9-9563-4DEED7D73023}"/>
    <cellStyle name="20% - Accent6 2 2 7 3" xfId="10844" xr:uid="{163B5907-DE37-4FA6-95EF-4FBA5DABFF7F}"/>
    <cellStyle name="20% - Accent6 2 2 8" xfId="4546" xr:uid="{00000000-0005-0000-0000-00004A030000}"/>
    <cellStyle name="20% - Accent6 2 2 8 2" xfId="12996" xr:uid="{2E5F9B34-278B-4539-9026-CBE7D8E9C7BC}"/>
    <cellStyle name="20% - Accent6 2 2 9" xfId="8778" xr:uid="{1B4A4C58-1D48-43BD-A2FD-6349B7A4D601}"/>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FF1429B8-2D84-417D-9D62-6B4419A20984}"/>
    <cellStyle name="20% - Accent6 2 3 2 2 3" xfId="11339" xr:uid="{17949AFD-F8B9-41B8-B41D-ABEB1F1CB9D3}"/>
    <cellStyle name="20% - Accent6 2 3 2 3" xfId="4962" xr:uid="{00000000-0005-0000-0000-00004F030000}"/>
    <cellStyle name="20% - Accent6 2 3 2 3 2" xfId="13412" xr:uid="{82951B18-EB7D-4E87-8D9D-83B2BC1209C1}"/>
    <cellStyle name="20% - Accent6 2 3 2 4" xfId="9194" xr:uid="{0E52F01F-CE07-4019-9712-5B269DDE9786}"/>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A3E708DE-680B-4B60-AAE8-B3F4F6780D19}"/>
    <cellStyle name="20% - Accent6 2 3 3 2 3" xfId="11752" xr:uid="{FA049429-9AFE-4C39-94C0-D642B65E99B8}"/>
    <cellStyle name="20% - Accent6 2 3 3 3" xfId="5375" xr:uid="{00000000-0005-0000-0000-000053030000}"/>
    <cellStyle name="20% - Accent6 2 3 3 3 2" xfId="13825" xr:uid="{1F05E966-036E-4D1E-9B05-6D6703762205}"/>
    <cellStyle name="20% - Accent6 2 3 3 4" xfId="9607" xr:uid="{821C9C34-AD0A-4E8F-AA8F-597A81056B89}"/>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51091319-E482-4B09-8D39-7D5401449C0C}"/>
    <cellStyle name="20% - Accent6 2 3 4 2 3" xfId="12165" xr:uid="{DA3F8E2B-D587-40A6-8010-3AEFC17C9724}"/>
    <cellStyle name="20% - Accent6 2 3 4 3" xfId="5788" xr:uid="{00000000-0005-0000-0000-000057030000}"/>
    <cellStyle name="20% - Accent6 2 3 4 3 2" xfId="14238" xr:uid="{4BA667C0-E2C1-4D2F-A296-8574698E0CEB}"/>
    <cellStyle name="20% - Accent6 2 3 4 4" xfId="10020" xr:uid="{75555928-79C0-490C-9198-9EC91282D7FF}"/>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17C3D0D8-E3B9-41F2-A3E7-4933F01AF075}"/>
    <cellStyle name="20% - Accent6 2 3 5 2 3" xfId="12578" xr:uid="{4D8A6457-8CFC-4606-B44A-AC4E0ABC00EE}"/>
    <cellStyle name="20% - Accent6 2 3 5 3" xfId="6201" xr:uid="{00000000-0005-0000-0000-00005B030000}"/>
    <cellStyle name="20% - Accent6 2 3 5 3 2" xfId="14651" xr:uid="{8AE5C2F4-B604-45D9-9949-852A81A6EA15}"/>
    <cellStyle name="20% - Accent6 2 3 5 4" xfId="10433" xr:uid="{5FBE2A4C-330D-4B2A-8F41-8015BF74053E}"/>
    <cellStyle name="20% - Accent6 2 3 6" xfId="2308" xr:uid="{00000000-0005-0000-0000-00005C030000}"/>
    <cellStyle name="20% - Accent6 2 3 6 2" xfId="6614" xr:uid="{00000000-0005-0000-0000-00005D030000}"/>
    <cellStyle name="20% - Accent6 2 3 6 2 2" xfId="15064" xr:uid="{F7A261BA-3020-4544-8FEE-5B16CCD96EC6}"/>
    <cellStyle name="20% - Accent6 2 3 6 3" xfId="10846" xr:uid="{3AB58B84-D425-4957-B48C-5D1EACB5E011}"/>
    <cellStyle name="20% - Accent6 2 3 7" xfId="4548" xr:uid="{00000000-0005-0000-0000-00005E030000}"/>
    <cellStyle name="20% - Accent6 2 3 7 2" xfId="12998" xr:uid="{B63C32E5-8F01-48CD-89D8-E84B64C10D17}"/>
    <cellStyle name="20% - Accent6 2 3 8" xfId="8780" xr:uid="{68D38F42-7C0B-41C6-98DD-EF0BAB95AFFB}"/>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E646D663-BBA3-4DB9-A3FB-2A5883AEDA69}"/>
    <cellStyle name="20% - Accent6 2 4 2 3" xfId="11336" xr:uid="{F2DD8D15-9533-4702-B343-90DEF1A43DC2}"/>
    <cellStyle name="20% - Accent6 2 4 3" xfId="4959" xr:uid="{00000000-0005-0000-0000-000062030000}"/>
    <cellStyle name="20% - Accent6 2 4 3 2" xfId="13409" xr:uid="{F7F12F52-0278-4EEB-A6F6-CD2D9F1857D7}"/>
    <cellStyle name="20% - Accent6 2 4 4" xfId="9191" xr:uid="{EDF14E35-4134-4917-AD43-E7E1DE3F1199}"/>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FB093C7B-1151-4F75-8D16-1F88186760A2}"/>
    <cellStyle name="20% - Accent6 2 5 2 3" xfId="11749" xr:uid="{0E190C46-7A83-4EFB-B3CC-62013B541276}"/>
    <cellStyle name="20% - Accent6 2 5 3" xfId="5372" xr:uid="{00000000-0005-0000-0000-000066030000}"/>
    <cellStyle name="20% - Accent6 2 5 3 2" xfId="13822" xr:uid="{0EA8A47D-06A6-48E8-AB19-CAD951F3EBB0}"/>
    <cellStyle name="20% - Accent6 2 5 4" xfId="9604" xr:uid="{ED1F3FDE-FEFA-4F8E-970D-8268A53E43D8}"/>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4E40CF3D-EB95-40AA-AE68-B09641C8C60D}"/>
    <cellStyle name="20% - Accent6 2 6 2 3" xfId="12162" xr:uid="{8F5E43BE-8890-4DF5-85AC-EDA303473D57}"/>
    <cellStyle name="20% - Accent6 2 6 3" xfId="5785" xr:uid="{00000000-0005-0000-0000-00006A030000}"/>
    <cellStyle name="20% - Accent6 2 6 3 2" xfId="14235" xr:uid="{22CCD28C-CCF5-4C8D-B3CC-A8EE3E019CE1}"/>
    <cellStyle name="20% - Accent6 2 6 4" xfId="10017" xr:uid="{4118511C-FF56-4D63-8EE3-44FC86B1C503}"/>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759D734C-B002-459A-A7A3-C37BDF41CA63}"/>
    <cellStyle name="20% - Accent6 2 7 2 3" xfId="12575" xr:uid="{25C65237-954B-49FC-8A89-331086F0897D}"/>
    <cellStyle name="20% - Accent6 2 7 3" xfId="6198" xr:uid="{00000000-0005-0000-0000-00006E030000}"/>
    <cellStyle name="20% - Accent6 2 7 3 2" xfId="14648" xr:uid="{890B95F5-FDCF-4622-8FD5-5F78499AE746}"/>
    <cellStyle name="20% - Accent6 2 7 4" xfId="10430" xr:uid="{5B85289D-DACF-4B18-B276-15067752C9DD}"/>
    <cellStyle name="20% - Accent6 2 8" xfId="2305" xr:uid="{00000000-0005-0000-0000-00006F030000}"/>
    <cellStyle name="20% - Accent6 2 8 2" xfId="6611" xr:uid="{00000000-0005-0000-0000-000070030000}"/>
    <cellStyle name="20% - Accent6 2 8 2 2" xfId="15061" xr:uid="{044FE06D-6E39-46B0-9656-F218E26FD9B5}"/>
    <cellStyle name="20% - Accent6 2 8 3" xfId="10843" xr:uid="{30E1D2BC-9931-45B8-835C-51CEF73737A8}"/>
    <cellStyle name="20% - Accent6 2 9" xfId="4545" xr:uid="{00000000-0005-0000-0000-000071030000}"/>
    <cellStyle name="20% - Accent6 2 9 2" xfId="12995" xr:uid="{D70351F8-8B63-4628-A3C5-E74FB0E2BD47}"/>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CE211FF8-C86C-4C59-B1D7-837025730FF9}"/>
    <cellStyle name="20% - Accent6 3 2 2 2 3" xfId="11341" xr:uid="{87DB9677-CC8F-41D8-A4E9-40AFA01D70C2}"/>
    <cellStyle name="20% - Accent6 3 2 2 3" xfId="4964" xr:uid="{00000000-0005-0000-0000-000077030000}"/>
    <cellStyle name="20% - Accent6 3 2 2 3 2" xfId="13414" xr:uid="{EE7C0DE4-5411-4857-AA28-676C4186409F}"/>
    <cellStyle name="20% - Accent6 3 2 2 4" xfId="9196" xr:uid="{CA4A68C0-A5BA-4921-A481-8EB6DD53F7B2}"/>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D421C1F0-2E3F-4FAF-B8C2-8CD7A8A82F5D}"/>
    <cellStyle name="20% - Accent6 3 2 3 2 3" xfId="11754" xr:uid="{3F544F24-C584-40A9-9C4C-AAC3509A058E}"/>
    <cellStyle name="20% - Accent6 3 2 3 3" xfId="5377" xr:uid="{00000000-0005-0000-0000-00007B030000}"/>
    <cellStyle name="20% - Accent6 3 2 3 3 2" xfId="13827" xr:uid="{D1F2583A-3E61-470A-97F2-A58F946EFAEA}"/>
    <cellStyle name="20% - Accent6 3 2 3 4" xfId="9609" xr:uid="{E1510167-E5C1-4A6F-A583-D6847B36A7F6}"/>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2D46CF6D-F9D8-4D38-9FED-4A70D51294A3}"/>
    <cellStyle name="20% - Accent6 3 2 4 2 3" xfId="12167" xr:uid="{CF279C57-4670-48B8-9758-16201E95DA8E}"/>
    <cellStyle name="20% - Accent6 3 2 4 3" xfId="5790" xr:uid="{00000000-0005-0000-0000-00007F030000}"/>
    <cellStyle name="20% - Accent6 3 2 4 3 2" xfId="14240" xr:uid="{2BE94F37-5220-4D19-87B1-96911608C5D0}"/>
    <cellStyle name="20% - Accent6 3 2 4 4" xfId="10022" xr:uid="{DF9311F3-ACB2-4CBC-AE0A-628B47D37256}"/>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81B0A4E9-DA72-41A9-A6FB-6C0A97194F51}"/>
    <cellStyle name="20% - Accent6 3 2 5 2 3" xfId="12580" xr:uid="{C0459F7D-2EC1-4171-83DD-7D97435AA847}"/>
    <cellStyle name="20% - Accent6 3 2 5 3" xfId="6203" xr:uid="{00000000-0005-0000-0000-000083030000}"/>
    <cellStyle name="20% - Accent6 3 2 5 3 2" xfId="14653" xr:uid="{5D50ABAF-C3F3-430B-A442-A582B9E012BB}"/>
    <cellStyle name="20% - Accent6 3 2 5 4" xfId="10435" xr:uid="{960EAE09-3D17-4C39-8049-E2E279E50283}"/>
    <cellStyle name="20% - Accent6 3 2 6" xfId="2310" xr:uid="{00000000-0005-0000-0000-000084030000}"/>
    <cellStyle name="20% - Accent6 3 2 6 2" xfId="6616" xr:uid="{00000000-0005-0000-0000-000085030000}"/>
    <cellStyle name="20% - Accent6 3 2 6 2 2" xfId="15066" xr:uid="{03A86B72-C17F-41E2-AEF0-CD1E649068D9}"/>
    <cellStyle name="20% - Accent6 3 2 6 3" xfId="10848" xr:uid="{8C360BED-8ABB-4268-9AEA-48F88BCFB75F}"/>
    <cellStyle name="20% - Accent6 3 2 7" xfId="4550" xr:uid="{00000000-0005-0000-0000-000086030000}"/>
    <cellStyle name="20% - Accent6 3 2 7 2" xfId="13000" xr:uid="{29550932-5844-4789-81D4-B34C1A86A0A1}"/>
    <cellStyle name="20% - Accent6 3 2 8" xfId="8782" xr:uid="{2B353582-9601-433C-B0C3-DB88EE6353F0}"/>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72762952-7ED6-4695-9BE1-075E9B4AAEF9}"/>
    <cellStyle name="20% - Accent6 3 3 2 3" xfId="11340" xr:uid="{F09F7F43-44F9-4BC4-AB4C-4FB2CB0BA171}"/>
    <cellStyle name="20% - Accent6 3 3 3" xfId="4963" xr:uid="{00000000-0005-0000-0000-00008A030000}"/>
    <cellStyle name="20% - Accent6 3 3 3 2" xfId="13413" xr:uid="{4FDE99BF-4596-434E-8D8E-47250A68A163}"/>
    <cellStyle name="20% - Accent6 3 3 4" xfId="9195" xr:uid="{3EF47484-31FB-43BC-BE65-B65073ADCE78}"/>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085D6B48-4B43-49A2-8A16-DB0C78BCCCBB}"/>
    <cellStyle name="20% - Accent6 3 4 2 3" xfId="11753" xr:uid="{C7F6FF8E-4885-4F74-AC23-592786E8A9AD}"/>
    <cellStyle name="20% - Accent6 3 4 3" xfId="5376" xr:uid="{00000000-0005-0000-0000-00008E030000}"/>
    <cellStyle name="20% - Accent6 3 4 3 2" xfId="13826" xr:uid="{A86823C0-BBDE-46DA-8E8E-DCF78689DD42}"/>
    <cellStyle name="20% - Accent6 3 4 4" xfId="9608" xr:uid="{D4F98F41-949B-47D0-BCB2-CEEA20C2C673}"/>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DE5C3849-E2B4-47BC-A292-7582B166AE89}"/>
    <cellStyle name="20% - Accent6 3 5 2 3" xfId="12166" xr:uid="{073DD5DF-9DBA-42AF-8018-D153F57F9124}"/>
    <cellStyle name="20% - Accent6 3 5 3" xfId="5789" xr:uid="{00000000-0005-0000-0000-000092030000}"/>
    <cellStyle name="20% - Accent6 3 5 3 2" xfId="14239" xr:uid="{14C762B8-FE61-4F35-8E39-0BF095C7C8DC}"/>
    <cellStyle name="20% - Accent6 3 5 4" xfId="10021" xr:uid="{C6E66E26-6472-4917-81DE-BCE1E37E0102}"/>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4040A350-63D5-4D10-B802-AE16C466E313}"/>
    <cellStyle name="20% - Accent6 3 6 2 3" xfId="12579" xr:uid="{543B54DE-EE47-4B5F-B21D-AE00F8EEB9C7}"/>
    <cellStyle name="20% - Accent6 3 6 3" xfId="6202" xr:uid="{00000000-0005-0000-0000-000096030000}"/>
    <cellStyle name="20% - Accent6 3 6 3 2" xfId="14652" xr:uid="{B32D83D3-0D66-4189-8795-0DBAD08D51B1}"/>
    <cellStyle name="20% - Accent6 3 6 4" xfId="10434" xr:uid="{252636CF-7F09-48A8-8D0E-5D1AC9747A24}"/>
    <cellStyle name="20% - Accent6 3 7" xfId="2309" xr:uid="{00000000-0005-0000-0000-000097030000}"/>
    <cellStyle name="20% - Accent6 3 7 2" xfId="6615" xr:uid="{00000000-0005-0000-0000-000098030000}"/>
    <cellStyle name="20% - Accent6 3 7 2 2" xfId="15065" xr:uid="{0622498E-6E28-4E5D-AB80-F60D334AC01C}"/>
    <cellStyle name="20% - Accent6 3 7 3" xfId="10847" xr:uid="{0B2CEF28-0094-4638-AE75-A79A8B5C0124}"/>
    <cellStyle name="20% - Accent6 3 8" xfId="4549" xr:uid="{00000000-0005-0000-0000-000099030000}"/>
    <cellStyle name="20% - Accent6 3 8 2" xfId="12999" xr:uid="{BAF406D0-42C8-432F-973A-5ACC92956078}"/>
    <cellStyle name="20% - Accent6 3 9" xfId="8781" xr:uid="{DE17346A-6040-45A2-9C3F-214C8DCFEEB9}"/>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07CEA38B-0B62-4D0A-B4BA-1A34A3045A07}"/>
    <cellStyle name="20% - Accent6 4 2 2 3" xfId="11342" xr:uid="{32C1B730-4F99-4BA4-83B7-93D8F3A381E9}"/>
    <cellStyle name="20% - Accent6 4 2 3" xfId="4965" xr:uid="{00000000-0005-0000-0000-00009E030000}"/>
    <cellStyle name="20% - Accent6 4 2 3 2" xfId="13415" xr:uid="{259C5CA5-77DA-49F5-B428-8F6FD47FD659}"/>
    <cellStyle name="20% - Accent6 4 2 4" xfId="9197" xr:uid="{4EF958F7-CF39-4E9F-B120-99AF9A42CFBE}"/>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E66C6031-30E8-469D-904A-15F1B79F8704}"/>
    <cellStyle name="20% - Accent6 4 3 2 3" xfId="11755" xr:uid="{5161A760-F282-4515-BB2F-3B76775C6DD2}"/>
    <cellStyle name="20% - Accent6 4 3 3" xfId="5378" xr:uid="{00000000-0005-0000-0000-0000A2030000}"/>
    <cellStyle name="20% - Accent6 4 3 3 2" xfId="13828" xr:uid="{2E4A4433-D3C3-49B6-B612-5C7B2741BB8D}"/>
    <cellStyle name="20% - Accent6 4 3 4" xfId="9610" xr:uid="{32F3E40D-A206-4350-84F0-64D86C8DDFAA}"/>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9027C4C4-0C51-4FD9-B7DD-2F07EEC8284B}"/>
    <cellStyle name="20% - Accent6 4 4 2 3" xfId="12168" xr:uid="{EE1F65E5-BC9F-49E7-B3A3-D97DAE6E9F0B}"/>
    <cellStyle name="20% - Accent6 4 4 3" xfId="5791" xr:uid="{00000000-0005-0000-0000-0000A6030000}"/>
    <cellStyle name="20% - Accent6 4 4 3 2" xfId="14241" xr:uid="{6FDABDF1-3ABC-416E-9736-D0F7244B2D77}"/>
    <cellStyle name="20% - Accent6 4 4 4" xfId="10023" xr:uid="{9B275705-AC7D-4956-9CA2-967B6FA43234}"/>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EC310F5A-DDE9-4ED0-88A4-1856F20EDB20}"/>
    <cellStyle name="20% - Accent6 4 5 2 3" xfId="12581" xr:uid="{E6AD947C-6F59-4B71-9263-6C579689401B}"/>
    <cellStyle name="20% - Accent6 4 5 3" xfId="6204" xr:uid="{00000000-0005-0000-0000-0000AA030000}"/>
    <cellStyle name="20% - Accent6 4 5 3 2" xfId="14654" xr:uid="{E8FEE341-6638-4448-9200-1BBC4B516F1B}"/>
    <cellStyle name="20% - Accent6 4 5 4" xfId="10436" xr:uid="{DF56569D-30E9-4DBE-83E4-246A76653C8F}"/>
    <cellStyle name="20% - Accent6 4 6" xfId="2311" xr:uid="{00000000-0005-0000-0000-0000AB030000}"/>
    <cellStyle name="20% - Accent6 4 6 2" xfId="6617" xr:uid="{00000000-0005-0000-0000-0000AC030000}"/>
    <cellStyle name="20% - Accent6 4 6 2 2" xfId="15067" xr:uid="{7CED70DA-9C66-4C73-9E80-939A1409DBEE}"/>
    <cellStyle name="20% - Accent6 4 6 3" xfId="10849" xr:uid="{268625BF-C8DE-453B-A68C-D3C027A44DC7}"/>
    <cellStyle name="20% - Accent6 4 7" xfId="4551" xr:uid="{00000000-0005-0000-0000-0000AD030000}"/>
    <cellStyle name="20% - Accent6 4 7 2" xfId="13001" xr:uid="{2C725051-5F8E-4A64-AA3D-4160777E2470}"/>
    <cellStyle name="20% - Accent6 4 8" xfId="8783" xr:uid="{9ADCE886-BA1C-4CB0-9E95-5A03D810B0D9}"/>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67958961-8F62-4FCF-96DE-B9B0310ECAEF}"/>
    <cellStyle name="20% - Accent6 5 2 3" xfId="11335" xr:uid="{D44EBF94-103A-4EE3-AB12-5F88A7432866}"/>
    <cellStyle name="20% - Accent6 5 3" xfId="4958" xr:uid="{00000000-0005-0000-0000-0000B1030000}"/>
    <cellStyle name="20% - Accent6 5 3 2" xfId="13408" xr:uid="{6627C697-1A5A-462B-961D-2F6BB5850E27}"/>
    <cellStyle name="20% - Accent6 5 4" xfId="9190" xr:uid="{B7906974-CD50-4734-BDFD-F56D28197203}"/>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5A5BE6B6-43C2-4E93-B69E-D744F4DBD750}"/>
    <cellStyle name="20% - Accent6 6 2 3" xfId="11748" xr:uid="{F0E447EB-E78D-4A2E-9EA8-ABDC956FF342}"/>
    <cellStyle name="20% - Accent6 6 3" xfId="5371" xr:uid="{00000000-0005-0000-0000-0000B5030000}"/>
    <cellStyle name="20% - Accent6 6 3 2" xfId="13821" xr:uid="{367AE1C2-DB21-4C02-BD8D-F36244E417A5}"/>
    <cellStyle name="20% - Accent6 6 4" xfId="9603" xr:uid="{79FADF4C-8B01-463D-89D9-EA6051DD7DC6}"/>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EBE7B66D-EEF8-42FF-BF1E-9789A696CD8D}"/>
    <cellStyle name="20% - Accent6 7 2 3" xfId="12161" xr:uid="{7EF39267-C671-4A5F-A092-7439C8DDDE10}"/>
    <cellStyle name="20% - Accent6 7 3" xfId="5784" xr:uid="{00000000-0005-0000-0000-0000B9030000}"/>
    <cellStyle name="20% - Accent6 7 3 2" xfId="14234" xr:uid="{9F273B7E-7630-4CC9-9290-5D07D42B8218}"/>
    <cellStyle name="20% - Accent6 7 4" xfId="10016" xr:uid="{09ED615F-E643-4905-982A-2892041BF9EA}"/>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514E92FD-0990-402E-819D-1A28F464203D}"/>
    <cellStyle name="20% - Accent6 8 2 3" xfId="12574" xr:uid="{894FC412-AAF9-422D-9661-A56ACFB5BAA5}"/>
    <cellStyle name="20% - Accent6 8 3" xfId="6197" xr:uid="{00000000-0005-0000-0000-0000BD030000}"/>
    <cellStyle name="20% - Accent6 8 3 2" xfId="14647" xr:uid="{5952165A-CBE2-4158-BC3D-4481F490F7CD}"/>
    <cellStyle name="20% - Accent6 8 4" xfId="10429" xr:uid="{AF6BA75C-280B-40AB-8A47-FDFB81550F00}"/>
    <cellStyle name="20% - Accent6 9" xfId="2304" xr:uid="{00000000-0005-0000-0000-0000BE030000}"/>
    <cellStyle name="20% - Accent6 9 2" xfId="6610" xr:uid="{00000000-0005-0000-0000-0000BF030000}"/>
    <cellStyle name="20% - Accent6 9 2 2" xfId="15060" xr:uid="{A3E969C3-9C92-44D7-A09A-EB81F0B65697}"/>
    <cellStyle name="20% - Accent6 9 3" xfId="10842" xr:uid="{0BBA29CD-1DA6-45BE-8ADF-D165F5205C23}"/>
    <cellStyle name="40% - Accent1" xfId="49" builtinId="31" customBuiltin="1"/>
    <cellStyle name="40% - Accent1 10" xfId="4552" xr:uid="{00000000-0005-0000-0000-0000C1030000}"/>
    <cellStyle name="40% - Accent1 10 2" xfId="13002" xr:uid="{0883F981-369A-49A5-BB09-2271BD27B31D}"/>
    <cellStyle name="40% - Accent1 11" xfId="8784" xr:uid="{DACF7DA8-E852-4F07-AAE1-C36C700105AE}"/>
    <cellStyle name="40% - Accent1 2" xfId="50" xr:uid="{00000000-0005-0000-0000-0000C2030000}"/>
    <cellStyle name="40% - Accent1 2 10" xfId="8785" xr:uid="{CCE95141-895B-4F0D-98CF-26EEDF3F93FB}"/>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9663837E-3C09-47BD-BBC4-F94173AC6393}"/>
    <cellStyle name="40% - Accent1 2 2 2 2 2 3" xfId="11346" xr:uid="{AA81AF6A-1656-495D-A655-D69B5466FCD8}"/>
    <cellStyle name="40% - Accent1 2 2 2 2 3" xfId="4969" xr:uid="{00000000-0005-0000-0000-0000C8030000}"/>
    <cellStyle name="40% - Accent1 2 2 2 2 3 2" xfId="13419" xr:uid="{BD5B0C33-2047-47CF-A06A-750D09AB803E}"/>
    <cellStyle name="40% - Accent1 2 2 2 2 4" xfId="9201" xr:uid="{ED3CE545-6349-45FF-A25F-C9912DAC499A}"/>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DBE94EFD-2A9D-4915-944D-70A3C9EAF15C}"/>
    <cellStyle name="40% - Accent1 2 2 2 3 2 3" xfId="11759" xr:uid="{63E6DC36-1032-4632-B612-E8670C60DEA4}"/>
    <cellStyle name="40% - Accent1 2 2 2 3 3" xfId="5382" xr:uid="{00000000-0005-0000-0000-0000CC030000}"/>
    <cellStyle name="40% - Accent1 2 2 2 3 3 2" xfId="13832" xr:uid="{BAF97379-9C55-4766-8C43-934B079299B5}"/>
    <cellStyle name="40% - Accent1 2 2 2 3 4" xfId="9614" xr:uid="{922A5AED-83B5-43C8-BF2E-7CFCC0C4EC9D}"/>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AF987B93-9161-43E0-A929-4408A027875C}"/>
    <cellStyle name="40% - Accent1 2 2 2 4 2 3" xfId="12172" xr:uid="{328E7BF3-26DF-47F2-AB1D-6E07552E34C7}"/>
    <cellStyle name="40% - Accent1 2 2 2 4 3" xfId="5795" xr:uid="{00000000-0005-0000-0000-0000D0030000}"/>
    <cellStyle name="40% - Accent1 2 2 2 4 3 2" xfId="14245" xr:uid="{08119731-5513-49F7-8719-AB0181B790BF}"/>
    <cellStyle name="40% - Accent1 2 2 2 4 4" xfId="10027" xr:uid="{38DD79B7-B5B6-427B-93FA-3DB11030E60E}"/>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F087F3E4-F701-49BA-9424-5FFE4DC8F63D}"/>
    <cellStyle name="40% - Accent1 2 2 2 5 2 3" xfId="12585" xr:uid="{9FCCA62D-FBA8-4C99-9AA2-0BB1C553E7EE}"/>
    <cellStyle name="40% - Accent1 2 2 2 5 3" xfId="6208" xr:uid="{00000000-0005-0000-0000-0000D4030000}"/>
    <cellStyle name="40% - Accent1 2 2 2 5 3 2" xfId="14658" xr:uid="{3705361D-E848-4889-BA09-7F9C0C97E53C}"/>
    <cellStyle name="40% - Accent1 2 2 2 5 4" xfId="10440" xr:uid="{5A11B7C9-7DD2-45F6-B0A8-AB47DBF85B24}"/>
    <cellStyle name="40% - Accent1 2 2 2 6" xfId="2315" xr:uid="{00000000-0005-0000-0000-0000D5030000}"/>
    <cellStyle name="40% - Accent1 2 2 2 6 2" xfId="6621" xr:uid="{00000000-0005-0000-0000-0000D6030000}"/>
    <cellStyle name="40% - Accent1 2 2 2 6 2 2" xfId="15071" xr:uid="{B570D8D1-AF10-42F7-A0B5-F07826B8FB72}"/>
    <cellStyle name="40% - Accent1 2 2 2 6 3" xfId="10853" xr:uid="{4D3C8DDC-B476-4998-9E87-782EC754D5BD}"/>
    <cellStyle name="40% - Accent1 2 2 2 7" xfId="4555" xr:uid="{00000000-0005-0000-0000-0000D7030000}"/>
    <cellStyle name="40% - Accent1 2 2 2 7 2" xfId="13005" xr:uid="{1047EFC4-F7B8-4E87-9AC8-F9D317EDAD43}"/>
    <cellStyle name="40% - Accent1 2 2 2 8" xfId="8787" xr:uid="{62589A72-C12B-4720-B0DE-57460FD63D5E}"/>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E21F927C-1731-4F64-B032-27052310624C}"/>
    <cellStyle name="40% - Accent1 2 2 3 2 3" xfId="11345" xr:uid="{5AD9CBC6-27DE-4932-B125-C49CF4382428}"/>
    <cellStyle name="40% - Accent1 2 2 3 3" xfId="4968" xr:uid="{00000000-0005-0000-0000-0000DB030000}"/>
    <cellStyle name="40% - Accent1 2 2 3 3 2" xfId="13418" xr:uid="{81232ADF-F690-4980-B88E-328309E03DE7}"/>
    <cellStyle name="40% - Accent1 2 2 3 4" xfId="9200" xr:uid="{35183DFB-8DFF-47CB-BED9-04609B004622}"/>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AE50CDFA-1F28-49BB-9EAB-3E4AD84EDB39}"/>
    <cellStyle name="40% - Accent1 2 2 4 2 3" xfId="11758" xr:uid="{F404402E-8E48-44AF-9C68-9AB4F9667FF4}"/>
    <cellStyle name="40% - Accent1 2 2 4 3" xfId="5381" xr:uid="{00000000-0005-0000-0000-0000DF030000}"/>
    <cellStyle name="40% - Accent1 2 2 4 3 2" xfId="13831" xr:uid="{680EAEE9-97B1-4C6A-921A-5A4A35816111}"/>
    <cellStyle name="40% - Accent1 2 2 4 4" xfId="9613" xr:uid="{C5D19596-BF63-4FE9-A84A-62C5F30ECD1F}"/>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AA611CD4-04C7-4EF7-B4A2-40B29B5524C4}"/>
    <cellStyle name="40% - Accent1 2 2 5 2 3" xfId="12171" xr:uid="{7F5650E1-B849-471F-8F0E-0B618EAFE5AF}"/>
    <cellStyle name="40% - Accent1 2 2 5 3" xfId="5794" xr:uid="{00000000-0005-0000-0000-0000E3030000}"/>
    <cellStyle name="40% - Accent1 2 2 5 3 2" xfId="14244" xr:uid="{475BACDC-A750-4BC1-BDEB-4B9D362CE8D4}"/>
    <cellStyle name="40% - Accent1 2 2 5 4" xfId="10026" xr:uid="{86BA94A3-7CA9-40B6-91ED-C3141E29A426}"/>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A57E683B-19E8-4C87-B627-0E76E87F82B0}"/>
    <cellStyle name="40% - Accent1 2 2 6 2 3" xfId="12584" xr:uid="{4BB26511-6C64-4680-A23C-8146BCBE3C93}"/>
    <cellStyle name="40% - Accent1 2 2 6 3" xfId="6207" xr:uid="{00000000-0005-0000-0000-0000E7030000}"/>
    <cellStyle name="40% - Accent1 2 2 6 3 2" xfId="14657" xr:uid="{B858C2F3-A217-426B-ACA7-A57F3816049C}"/>
    <cellStyle name="40% - Accent1 2 2 6 4" xfId="10439" xr:uid="{EA2427E7-8C57-4502-8911-4BB5E9A09F95}"/>
    <cellStyle name="40% - Accent1 2 2 7" xfId="2314" xr:uid="{00000000-0005-0000-0000-0000E8030000}"/>
    <cellStyle name="40% - Accent1 2 2 7 2" xfId="6620" xr:uid="{00000000-0005-0000-0000-0000E9030000}"/>
    <cellStyle name="40% - Accent1 2 2 7 2 2" xfId="15070" xr:uid="{B5E56345-4ABC-448D-9943-C124B28EFCA9}"/>
    <cellStyle name="40% - Accent1 2 2 7 3" xfId="10852" xr:uid="{F4725190-9E31-4D51-956E-62594DADF026}"/>
    <cellStyle name="40% - Accent1 2 2 8" xfId="4554" xr:uid="{00000000-0005-0000-0000-0000EA030000}"/>
    <cellStyle name="40% - Accent1 2 2 8 2" xfId="13004" xr:uid="{2777A984-24B0-4E2B-8960-C46041EDCB0D}"/>
    <cellStyle name="40% - Accent1 2 2 9" xfId="8786" xr:uid="{193FB451-A28D-4B3E-995F-50C32A19C134}"/>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5ADFBAA4-2EBF-414C-9988-8AE986CCD235}"/>
    <cellStyle name="40% - Accent1 2 3 2 2 3" xfId="11347" xr:uid="{9EA0C3BD-45BD-4815-A024-B4AA73E07985}"/>
    <cellStyle name="40% - Accent1 2 3 2 3" xfId="4970" xr:uid="{00000000-0005-0000-0000-0000EF030000}"/>
    <cellStyle name="40% - Accent1 2 3 2 3 2" xfId="13420" xr:uid="{E1D7CA52-121A-4EE8-9BF3-4960533269B2}"/>
    <cellStyle name="40% - Accent1 2 3 2 4" xfId="9202" xr:uid="{D25DB01A-C0DB-4AE2-B4EC-4AF841C555FE}"/>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45A1FECD-9D9C-4327-8703-149E10CCF6CA}"/>
    <cellStyle name="40% - Accent1 2 3 3 2 3" xfId="11760" xr:uid="{25E6E44D-5687-45DC-914D-1EF39FC46403}"/>
    <cellStyle name="40% - Accent1 2 3 3 3" xfId="5383" xr:uid="{00000000-0005-0000-0000-0000F3030000}"/>
    <cellStyle name="40% - Accent1 2 3 3 3 2" xfId="13833" xr:uid="{1337EF34-76D8-4CF8-AEB6-44BD9DDDCAFB}"/>
    <cellStyle name="40% - Accent1 2 3 3 4" xfId="9615" xr:uid="{0E22458B-1184-48F9-B32C-BAD4C67509B4}"/>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F3A334D5-3D4C-47AD-A391-AF60D84F8CBE}"/>
    <cellStyle name="40% - Accent1 2 3 4 2 3" xfId="12173" xr:uid="{9341532B-D52C-479A-BC8D-2577D45284D4}"/>
    <cellStyle name="40% - Accent1 2 3 4 3" xfId="5796" xr:uid="{00000000-0005-0000-0000-0000F7030000}"/>
    <cellStyle name="40% - Accent1 2 3 4 3 2" xfId="14246" xr:uid="{D53149DC-9DD8-49FA-920C-F2E75F6FCD44}"/>
    <cellStyle name="40% - Accent1 2 3 4 4" xfId="10028" xr:uid="{30CBBDE3-3CB8-4BB6-BD4A-4282BC5329DC}"/>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D22FF77E-F667-499F-8BE4-33F0BED6FBAC}"/>
    <cellStyle name="40% - Accent1 2 3 5 2 3" xfId="12586" xr:uid="{E228336A-9775-44C2-B52D-07BBA4E61A52}"/>
    <cellStyle name="40% - Accent1 2 3 5 3" xfId="6209" xr:uid="{00000000-0005-0000-0000-0000FB030000}"/>
    <cellStyle name="40% - Accent1 2 3 5 3 2" xfId="14659" xr:uid="{87844EE3-19C7-47E3-B76A-A288475034DE}"/>
    <cellStyle name="40% - Accent1 2 3 5 4" xfId="10441" xr:uid="{3101048D-8907-41D6-B2E3-A00B2E12EA6C}"/>
    <cellStyle name="40% - Accent1 2 3 6" xfId="2316" xr:uid="{00000000-0005-0000-0000-0000FC030000}"/>
    <cellStyle name="40% - Accent1 2 3 6 2" xfId="6622" xr:uid="{00000000-0005-0000-0000-0000FD030000}"/>
    <cellStyle name="40% - Accent1 2 3 6 2 2" xfId="15072" xr:uid="{482FD877-5ADC-40C1-BDC3-CCE558A8CCC7}"/>
    <cellStyle name="40% - Accent1 2 3 6 3" xfId="10854" xr:uid="{EE763E9C-9B00-492C-BE56-2AA9685D651E}"/>
    <cellStyle name="40% - Accent1 2 3 7" xfId="4556" xr:uid="{00000000-0005-0000-0000-0000FE030000}"/>
    <cellStyle name="40% - Accent1 2 3 7 2" xfId="13006" xr:uid="{5C70CC12-3613-4AF8-B391-2F78E9422800}"/>
    <cellStyle name="40% - Accent1 2 3 8" xfId="8788" xr:uid="{A4E81492-F488-45C8-AFAF-1BA34C6F8C59}"/>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32412BE3-EA1C-499A-8668-CB8774349220}"/>
    <cellStyle name="40% - Accent1 2 4 2 3" xfId="11344" xr:uid="{56947889-2F1A-4750-95C6-CA90F621CB8C}"/>
    <cellStyle name="40% - Accent1 2 4 3" xfId="4967" xr:uid="{00000000-0005-0000-0000-000002040000}"/>
    <cellStyle name="40% - Accent1 2 4 3 2" xfId="13417" xr:uid="{43C4CDA2-3522-4251-8AB4-12CA1225D24C}"/>
    <cellStyle name="40% - Accent1 2 4 4" xfId="9199" xr:uid="{1AB7976A-D85F-49EE-9123-21E10261577F}"/>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8C301507-6A87-44C5-990A-32E6367D72B6}"/>
    <cellStyle name="40% - Accent1 2 5 2 3" xfId="11757" xr:uid="{C87FC39F-0D81-4EDA-A6A6-8BA88E02AA6E}"/>
    <cellStyle name="40% - Accent1 2 5 3" xfId="5380" xr:uid="{00000000-0005-0000-0000-000006040000}"/>
    <cellStyle name="40% - Accent1 2 5 3 2" xfId="13830" xr:uid="{AECA0572-D103-4847-89F0-437F2B3252D5}"/>
    <cellStyle name="40% - Accent1 2 5 4" xfId="9612" xr:uid="{754B09AA-60C9-4314-B4E5-8306A945183E}"/>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DC0BC976-55C3-493C-A687-5F78FDB49245}"/>
    <cellStyle name="40% - Accent1 2 6 2 3" xfId="12170" xr:uid="{B5638461-E6E5-4E74-9087-1EBE4CB77DF4}"/>
    <cellStyle name="40% - Accent1 2 6 3" xfId="5793" xr:uid="{00000000-0005-0000-0000-00000A040000}"/>
    <cellStyle name="40% - Accent1 2 6 3 2" xfId="14243" xr:uid="{B83363CD-03DC-4F67-A38B-C282667D8358}"/>
    <cellStyle name="40% - Accent1 2 6 4" xfId="10025" xr:uid="{7424D2FC-0649-4BF6-B887-0529967CC9F5}"/>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CD790B94-7837-46C3-ADCC-3D721CED925C}"/>
    <cellStyle name="40% - Accent1 2 7 2 3" xfId="12583" xr:uid="{CA3D6A9B-7A4D-4DB6-A3C4-09AA948A3899}"/>
    <cellStyle name="40% - Accent1 2 7 3" xfId="6206" xr:uid="{00000000-0005-0000-0000-00000E040000}"/>
    <cellStyle name="40% - Accent1 2 7 3 2" xfId="14656" xr:uid="{C312E0BD-F53E-4250-8ABB-ADA2A5B79B96}"/>
    <cellStyle name="40% - Accent1 2 7 4" xfId="10438" xr:uid="{D58B4E26-CA13-445B-8A2D-A7F3FC796196}"/>
    <cellStyle name="40% - Accent1 2 8" xfId="2313" xr:uid="{00000000-0005-0000-0000-00000F040000}"/>
    <cellStyle name="40% - Accent1 2 8 2" xfId="6619" xr:uid="{00000000-0005-0000-0000-000010040000}"/>
    <cellStyle name="40% - Accent1 2 8 2 2" xfId="15069" xr:uid="{B59A9B94-1382-410F-B2D1-EED1767EBBC1}"/>
    <cellStyle name="40% - Accent1 2 8 3" xfId="10851" xr:uid="{8A4A44C6-1D59-4EED-9CA6-6C56E3BDD2A1}"/>
    <cellStyle name="40% - Accent1 2 9" xfId="4553" xr:uid="{00000000-0005-0000-0000-000011040000}"/>
    <cellStyle name="40% - Accent1 2 9 2" xfId="13003" xr:uid="{0FC2C43D-CEAF-4316-AD72-A0B321AEC27A}"/>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8E92D961-EC0C-47C6-B60C-93ABAD27C34F}"/>
    <cellStyle name="40% - Accent1 3 2 2 2 3" xfId="11349" xr:uid="{961613D0-E7B6-41C7-A77F-AD6FB51BE08E}"/>
    <cellStyle name="40% - Accent1 3 2 2 3" xfId="4972" xr:uid="{00000000-0005-0000-0000-000017040000}"/>
    <cellStyle name="40% - Accent1 3 2 2 3 2" xfId="13422" xr:uid="{46C3A35D-1188-4687-8769-E026EA5F4FE2}"/>
    <cellStyle name="40% - Accent1 3 2 2 4" xfId="9204" xr:uid="{8B9BBF93-B1F5-4760-98C8-53C52350B1B0}"/>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2826D8EC-50BB-4CC5-8181-8767539E6B40}"/>
    <cellStyle name="40% - Accent1 3 2 3 2 3" xfId="11762" xr:uid="{B04699C5-C16D-4965-A6E6-67AB6E4870ED}"/>
    <cellStyle name="40% - Accent1 3 2 3 3" xfId="5385" xr:uid="{00000000-0005-0000-0000-00001B040000}"/>
    <cellStyle name="40% - Accent1 3 2 3 3 2" xfId="13835" xr:uid="{4F25D2A1-675A-434B-97A3-ECEBB102727E}"/>
    <cellStyle name="40% - Accent1 3 2 3 4" xfId="9617" xr:uid="{E280CE3F-BD99-43E2-951D-AFCE7E43E020}"/>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F2DCD522-E41D-4856-B7AA-D2AF35984278}"/>
    <cellStyle name="40% - Accent1 3 2 4 2 3" xfId="12175" xr:uid="{68EE54C1-C3AF-4F70-94FA-F0D139B7BEF1}"/>
    <cellStyle name="40% - Accent1 3 2 4 3" xfId="5798" xr:uid="{00000000-0005-0000-0000-00001F040000}"/>
    <cellStyle name="40% - Accent1 3 2 4 3 2" xfId="14248" xr:uid="{7FBA8249-5173-4111-A468-BDB85BCD1B72}"/>
    <cellStyle name="40% - Accent1 3 2 4 4" xfId="10030" xr:uid="{78DCC9BD-D722-4FE4-A97E-5B090BA77DBA}"/>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E6BBC9D8-7B2B-4E6E-8CDB-78F2E8E0FB41}"/>
    <cellStyle name="40% - Accent1 3 2 5 2 3" xfId="12588" xr:uid="{BD6CCF42-BD10-4D5D-8CD1-39FD483664C8}"/>
    <cellStyle name="40% - Accent1 3 2 5 3" xfId="6211" xr:uid="{00000000-0005-0000-0000-000023040000}"/>
    <cellStyle name="40% - Accent1 3 2 5 3 2" xfId="14661" xr:uid="{A195DEAB-19ED-4129-BC6D-914DA8EBF4D8}"/>
    <cellStyle name="40% - Accent1 3 2 5 4" xfId="10443" xr:uid="{EFE2BE38-F12F-41D6-B921-8E32230F20E5}"/>
    <cellStyle name="40% - Accent1 3 2 6" xfId="2318" xr:uid="{00000000-0005-0000-0000-000024040000}"/>
    <cellStyle name="40% - Accent1 3 2 6 2" xfId="6624" xr:uid="{00000000-0005-0000-0000-000025040000}"/>
    <cellStyle name="40% - Accent1 3 2 6 2 2" xfId="15074" xr:uid="{39D7B4D2-39ED-47AD-9B41-5D276F211582}"/>
    <cellStyle name="40% - Accent1 3 2 6 3" xfId="10856" xr:uid="{EA07068A-9444-44CB-989A-9921442EA87F}"/>
    <cellStyle name="40% - Accent1 3 2 7" xfId="4558" xr:uid="{00000000-0005-0000-0000-000026040000}"/>
    <cellStyle name="40% - Accent1 3 2 7 2" xfId="13008" xr:uid="{D4D70D23-2442-411C-A6E0-45DC15DAD830}"/>
    <cellStyle name="40% - Accent1 3 2 8" xfId="8790" xr:uid="{D8648DCF-BF2F-4E6B-9CBB-58551291AA18}"/>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D8C5866B-1704-48B2-B95A-BF9DFA25C601}"/>
    <cellStyle name="40% - Accent1 3 3 2 3" xfId="11348" xr:uid="{C599ADDE-1DBE-4AB1-94CD-AF78D0F73ECD}"/>
    <cellStyle name="40% - Accent1 3 3 3" xfId="4971" xr:uid="{00000000-0005-0000-0000-00002A040000}"/>
    <cellStyle name="40% - Accent1 3 3 3 2" xfId="13421" xr:uid="{510DCD54-1F61-4E80-969A-D8F4D1D77CF0}"/>
    <cellStyle name="40% - Accent1 3 3 4" xfId="9203" xr:uid="{6FA77BFF-E069-4F58-9767-C8A9F9A03031}"/>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2B73631C-3435-44FE-8350-D486B031C113}"/>
    <cellStyle name="40% - Accent1 3 4 2 3" xfId="11761" xr:uid="{40DC0858-D3F4-421D-9968-50CD72622941}"/>
    <cellStyle name="40% - Accent1 3 4 3" xfId="5384" xr:uid="{00000000-0005-0000-0000-00002E040000}"/>
    <cellStyle name="40% - Accent1 3 4 3 2" xfId="13834" xr:uid="{4C1C9954-EF9C-4733-9D67-EC1B76FA8C96}"/>
    <cellStyle name="40% - Accent1 3 4 4" xfId="9616" xr:uid="{2B101D09-5535-4406-A8E1-CE025C189CE1}"/>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CFE74B36-F73F-4EBC-B7F2-F2FB1C0BF231}"/>
    <cellStyle name="40% - Accent1 3 5 2 3" xfId="12174" xr:uid="{7F02E6D7-4840-47C1-84D7-BE2187DF3DDD}"/>
    <cellStyle name="40% - Accent1 3 5 3" xfId="5797" xr:uid="{00000000-0005-0000-0000-000032040000}"/>
    <cellStyle name="40% - Accent1 3 5 3 2" xfId="14247" xr:uid="{6E927664-B5DC-4DB6-BDA3-2067121BFBB1}"/>
    <cellStyle name="40% - Accent1 3 5 4" xfId="10029" xr:uid="{5294E820-8840-42CF-8ECF-99A8C71924F3}"/>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8CFD2302-669D-49B0-81F7-99F62E62EF48}"/>
    <cellStyle name="40% - Accent1 3 6 2 3" xfId="12587" xr:uid="{816F2D56-2CB1-4D90-A8E6-CFFFD22F5B32}"/>
    <cellStyle name="40% - Accent1 3 6 3" xfId="6210" xr:uid="{00000000-0005-0000-0000-000036040000}"/>
    <cellStyle name="40% - Accent1 3 6 3 2" xfId="14660" xr:uid="{24DC40FA-2B8C-4305-958F-40DE3664D9EE}"/>
    <cellStyle name="40% - Accent1 3 6 4" xfId="10442" xr:uid="{C21EF25B-9BFE-43A1-825F-9BE96A26AFC9}"/>
    <cellStyle name="40% - Accent1 3 7" xfId="2317" xr:uid="{00000000-0005-0000-0000-000037040000}"/>
    <cellStyle name="40% - Accent1 3 7 2" xfId="6623" xr:uid="{00000000-0005-0000-0000-000038040000}"/>
    <cellStyle name="40% - Accent1 3 7 2 2" xfId="15073" xr:uid="{617EA044-666D-47F9-A274-4D432782E772}"/>
    <cellStyle name="40% - Accent1 3 7 3" xfId="10855" xr:uid="{9ED409CF-A0AA-4E6A-9A0D-38F54B38C82D}"/>
    <cellStyle name="40% - Accent1 3 8" xfId="4557" xr:uid="{00000000-0005-0000-0000-000039040000}"/>
    <cellStyle name="40% - Accent1 3 8 2" xfId="13007" xr:uid="{BA5FC8F3-C005-4E05-BF1D-928C17BF9795}"/>
    <cellStyle name="40% - Accent1 3 9" xfId="8789" xr:uid="{473D32E1-594A-4B1B-9FCC-D856889CC0A9}"/>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50743D7B-24D4-4D7C-AFD2-214B4D228CBC}"/>
    <cellStyle name="40% - Accent1 4 2 2 3" xfId="11350" xr:uid="{DDD64B41-0FDA-4E79-A9E1-B080D000390B}"/>
    <cellStyle name="40% - Accent1 4 2 3" xfId="4973" xr:uid="{00000000-0005-0000-0000-00003E040000}"/>
    <cellStyle name="40% - Accent1 4 2 3 2" xfId="13423" xr:uid="{0FA4C717-5112-4ED0-A12F-C08F655BE2AD}"/>
    <cellStyle name="40% - Accent1 4 2 4" xfId="9205" xr:uid="{F43DDB32-48D0-4545-800C-47843F8277D2}"/>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653F7C3C-BE6F-4D19-B77B-735016E1F7EB}"/>
    <cellStyle name="40% - Accent1 4 3 2 3" xfId="11763" xr:uid="{20949C36-4CEA-4D82-B8A2-55C31595918C}"/>
    <cellStyle name="40% - Accent1 4 3 3" xfId="5386" xr:uid="{00000000-0005-0000-0000-000042040000}"/>
    <cellStyle name="40% - Accent1 4 3 3 2" xfId="13836" xr:uid="{82B9ACEB-4B8F-47E6-858A-290A5D28516B}"/>
    <cellStyle name="40% - Accent1 4 3 4" xfId="9618" xr:uid="{FA9E349E-578A-4571-9ABE-AA888CF3B7A0}"/>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57A9A2DB-B428-496B-A094-796E6939E8AD}"/>
    <cellStyle name="40% - Accent1 4 4 2 3" xfId="12176" xr:uid="{C3133FF6-3B67-46C9-AD0B-26EB50D59063}"/>
    <cellStyle name="40% - Accent1 4 4 3" xfId="5799" xr:uid="{00000000-0005-0000-0000-000046040000}"/>
    <cellStyle name="40% - Accent1 4 4 3 2" xfId="14249" xr:uid="{2227B9C4-0E6E-4DCA-A536-2A2F141C5EEB}"/>
    <cellStyle name="40% - Accent1 4 4 4" xfId="10031" xr:uid="{EA720579-958A-45DB-8B19-E58F89FBD1FB}"/>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88A4A015-3DAD-45F2-8771-FBC744CA2335}"/>
    <cellStyle name="40% - Accent1 4 5 2 3" xfId="12589" xr:uid="{742F41A5-B76A-41ED-BE4C-4C9E56728CE6}"/>
    <cellStyle name="40% - Accent1 4 5 3" xfId="6212" xr:uid="{00000000-0005-0000-0000-00004A040000}"/>
    <cellStyle name="40% - Accent1 4 5 3 2" xfId="14662" xr:uid="{A2D3336F-9EEB-4499-B371-3BD668A5344A}"/>
    <cellStyle name="40% - Accent1 4 5 4" xfId="10444" xr:uid="{EE0ECD83-9A8F-43FB-92FE-F960B48F6DDC}"/>
    <cellStyle name="40% - Accent1 4 6" xfId="2319" xr:uid="{00000000-0005-0000-0000-00004B040000}"/>
    <cellStyle name="40% - Accent1 4 6 2" xfId="6625" xr:uid="{00000000-0005-0000-0000-00004C040000}"/>
    <cellStyle name="40% - Accent1 4 6 2 2" xfId="15075" xr:uid="{8617B878-1697-4DDA-95A7-49B164D85BCD}"/>
    <cellStyle name="40% - Accent1 4 6 3" xfId="10857" xr:uid="{4705BEAF-F9BE-4FDE-80B7-6FD48DDD1DE9}"/>
    <cellStyle name="40% - Accent1 4 7" xfId="4559" xr:uid="{00000000-0005-0000-0000-00004D040000}"/>
    <cellStyle name="40% - Accent1 4 7 2" xfId="13009" xr:uid="{82A98A2C-FB51-476B-BD51-99A468BC2564}"/>
    <cellStyle name="40% - Accent1 4 8" xfId="8791" xr:uid="{6D4BE1EE-20FD-4900-9AB7-FF0CE2EB1A1A}"/>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21812A0D-9E7D-4B2B-88E0-8F395D901304}"/>
    <cellStyle name="40% - Accent1 5 2 3" xfId="11343" xr:uid="{2D1421C0-05E9-4D7A-B302-3A2B861B6D44}"/>
    <cellStyle name="40% - Accent1 5 3" xfId="4966" xr:uid="{00000000-0005-0000-0000-000051040000}"/>
    <cellStyle name="40% - Accent1 5 3 2" xfId="13416" xr:uid="{D9BC99CD-9499-4B96-85FC-598209807617}"/>
    <cellStyle name="40% - Accent1 5 4" xfId="9198" xr:uid="{0DB2AE44-6AD1-4561-958F-410F548BEEFC}"/>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76307969-2C99-4AA5-930D-A83CE897D0AA}"/>
    <cellStyle name="40% - Accent1 6 2 3" xfId="11756" xr:uid="{CADA4C64-1C5F-4143-88F0-7520A5CCA31E}"/>
    <cellStyle name="40% - Accent1 6 3" xfId="5379" xr:uid="{00000000-0005-0000-0000-000055040000}"/>
    <cellStyle name="40% - Accent1 6 3 2" xfId="13829" xr:uid="{4618F91A-2349-49D8-9735-29EDB76E95CF}"/>
    <cellStyle name="40% - Accent1 6 4" xfId="9611" xr:uid="{5CBF4E1B-E4D0-42A2-A817-A5592427773D}"/>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2005FA3B-FA11-4F1F-BFDF-6DA35129A996}"/>
    <cellStyle name="40% - Accent1 7 2 3" xfId="12169" xr:uid="{3CEAF031-E90D-40AD-8667-F58426615E6B}"/>
    <cellStyle name="40% - Accent1 7 3" xfId="5792" xr:uid="{00000000-0005-0000-0000-000059040000}"/>
    <cellStyle name="40% - Accent1 7 3 2" xfId="14242" xr:uid="{86636929-27AF-49D1-87DE-BCD9E3CF8B3C}"/>
    <cellStyle name="40% - Accent1 7 4" xfId="10024" xr:uid="{F463858D-6B77-4FBB-83B6-8055F02B5557}"/>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FBCED946-179B-4E61-95CC-03F826110C92}"/>
    <cellStyle name="40% - Accent1 8 2 3" xfId="12582" xr:uid="{2888EB5F-E36E-469B-AB7A-6FB47F7EB65C}"/>
    <cellStyle name="40% - Accent1 8 3" xfId="6205" xr:uid="{00000000-0005-0000-0000-00005D040000}"/>
    <cellStyle name="40% - Accent1 8 3 2" xfId="14655" xr:uid="{C5CBA672-BD39-45DB-B6B0-ECA9EA08D01B}"/>
    <cellStyle name="40% - Accent1 8 4" xfId="10437" xr:uid="{7CFCC1AA-703D-4AC8-B9FC-84CC5FFEB9B8}"/>
    <cellStyle name="40% - Accent1 9" xfId="2312" xr:uid="{00000000-0005-0000-0000-00005E040000}"/>
    <cellStyle name="40% - Accent1 9 2" xfId="6618" xr:uid="{00000000-0005-0000-0000-00005F040000}"/>
    <cellStyle name="40% - Accent1 9 2 2" xfId="15068" xr:uid="{16FF7DCE-50EC-4E86-BB2C-BEAE74616DC3}"/>
    <cellStyle name="40% - Accent1 9 3" xfId="10850" xr:uid="{A6B6D683-D1C1-411E-93C0-27D7EA7DF674}"/>
    <cellStyle name="40% - Accent2" xfId="57" builtinId="35" customBuiltin="1"/>
    <cellStyle name="40% - Accent2 10" xfId="4560" xr:uid="{00000000-0005-0000-0000-000061040000}"/>
    <cellStyle name="40% - Accent2 10 2" xfId="13010" xr:uid="{7E53D4B9-63D7-4E43-8612-BBF6D8E674BC}"/>
    <cellStyle name="40% - Accent2 11" xfId="8792" xr:uid="{65FC397A-D82B-4EEA-B553-52363C5BD8A0}"/>
    <cellStyle name="40% - Accent2 2" xfId="58" xr:uid="{00000000-0005-0000-0000-000062040000}"/>
    <cellStyle name="40% - Accent2 2 10" xfId="8793" xr:uid="{3E6ED6DB-7AC6-46BF-B353-8D87540B98D2}"/>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2FA30965-D2F9-4050-8648-30BCADD3B995}"/>
    <cellStyle name="40% - Accent2 2 2 2 2 2 3" xfId="11354" xr:uid="{EC8EB356-F380-48D9-99B2-2E119A97FD4F}"/>
    <cellStyle name="40% - Accent2 2 2 2 2 3" xfId="4977" xr:uid="{00000000-0005-0000-0000-000068040000}"/>
    <cellStyle name="40% - Accent2 2 2 2 2 3 2" xfId="13427" xr:uid="{737CB30F-3B79-4C9E-966A-F809D9EA03A1}"/>
    <cellStyle name="40% - Accent2 2 2 2 2 4" xfId="9209" xr:uid="{DA0D2B24-01F9-4F27-885A-E848907F0C0E}"/>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E7D6FE0B-B07C-40A2-8179-EB67187C05F5}"/>
    <cellStyle name="40% - Accent2 2 2 2 3 2 3" xfId="11767" xr:uid="{624CFD78-0E51-402E-BA58-2DEA219C7189}"/>
    <cellStyle name="40% - Accent2 2 2 2 3 3" xfId="5390" xr:uid="{00000000-0005-0000-0000-00006C040000}"/>
    <cellStyle name="40% - Accent2 2 2 2 3 3 2" xfId="13840" xr:uid="{BB94CD11-901D-4588-B20E-E32EDFE73A79}"/>
    <cellStyle name="40% - Accent2 2 2 2 3 4" xfId="9622" xr:uid="{CC146E69-612F-45F7-ADB2-69D3CB5478DE}"/>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5DE56302-A8B3-48F3-BCBC-8C9CC4275DA4}"/>
    <cellStyle name="40% - Accent2 2 2 2 4 2 3" xfId="12180" xr:uid="{8901E521-2640-4C09-951B-188A8C18BD8A}"/>
    <cellStyle name="40% - Accent2 2 2 2 4 3" xfId="5803" xr:uid="{00000000-0005-0000-0000-000070040000}"/>
    <cellStyle name="40% - Accent2 2 2 2 4 3 2" xfId="14253" xr:uid="{83F4B83D-D8F7-439F-9B7E-9A7E12F453E2}"/>
    <cellStyle name="40% - Accent2 2 2 2 4 4" xfId="10035" xr:uid="{89D271FC-43F2-4022-8DC6-0B896BF1548A}"/>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0DD25519-4219-4A0B-9A71-AAE751B2DDA8}"/>
    <cellStyle name="40% - Accent2 2 2 2 5 2 3" xfId="12593" xr:uid="{68102038-73F5-42A5-AC1A-0EAA7A13EBE4}"/>
    <cellStyle name="40% - Accent2 2 2 2 5 3" xfId="6216" xr:uid="{00000000-0005-0000-0000-000074040000}"/>
    <cellStyle name="40% - Accent2 2 2 2 5 3 2" xfId="14666" xr:uid="{29E69F52-C2B2-47A6-B684-9D95D15904C0}"/>
    <cellStyle name="40% - Accent2 2 2 2 5 4" xfId="10448" xr:uid="{17C9058C-C3AA-4F39-B54A-380E3CCC1A22}"/>
    <cellStyle name="40% - Accent2 2 2 2 6" xfId="2323" xr:uid="{00000000-0005-0000-0000-000075040000}"/>
    <cellStyle name="40% - Accent2 2 2 2 6 2" xfId="6629" xr:uid="{00000000-0005-0000-0000-000076040000}"/>
    <cellStyle name="40% - Accent2 2 2 2 6 2 2" xfId="15079" xr:uid="{17197406-78CB-4FBD-A92E-24DA0D269F14}"/>
    <cellStyle name="40% - Accent2 2 2 2 6 3" xfId="10861" xr:uid="{C1CB126F-674C-44A4-B930-3F6813AB0160}"/>
    <cellStyle name="40% - Accent2 2 2 2 7" xfId="4563" xr:uid="{00000000-0005-0000-0000-000077040000}"/>
    <cellStyle name="40% - Accent2 2 2 2 7 2" xfId="13013" xr:uid="{8267E53D-2B01-4B9C-B1D5-0EFC6586692E}"/>
    <cellStyle name="40% - Accent2 2 2 2 8" xfId="8795" xr:uid="{F2AFB29A-1142-44A1-A3E1-108042176096}"/>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EC7835F4-6213-4FFD-BBFA-A86DA494ADC7}"/>
    <cellStyle name="40% - Accent2 2 2 3 2 3" xfId="11353" xr:uid="{7EF6525A-F7DF-48D1-8D7C-555411509939}"/>
    <cellStyle name="40% - Accent2 2 2 3 3" xfId="4976" xr:uid="{00000000-0005-0000-0000-00007B040000}"/>
    <cellStyle name="40% - Accent2 2 2 3 3 2" xfId="13426" xr:uid="{E81CB3C5-4AC2-4A2D-BA96-D1E58B1AC00D}"/>
    <cellStyle name="40% - Accent2 2 2 3 4" xfId="9208" xr:uid="{6387627F-A22F-4275-934A-EC10FB65BAA9}"/>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EEEEC5ED-DA63-48D9-98C6-9A9FA9C395C1}"/>
    <cellStyle name="40% - Accent2 2 2 4 2 3" xfId="11766" xr:uid="{05CDE2F9-4420-422E-B6E9-73CD406FDF31}"/>
    <cellStyle name="40% - Accent2 2 2 4 3" xfId="5389" xr:uid="{00000000-0005-0000-0000-00007F040000}"/>
    <cellStyle name="40% - Accent2 2 2 4 3 2" xfId="13839" xr:uid="{FDDEDE13-95C4-420D-AF9E-3B655757D5E4}"/>
    <cellStyle name="40% - Accent2 2 2 4 4" xfId="9621" xr:uid="{C378BF59-ADE8-42EA-ABD7-B64D2643F7DC}"/>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63DA7DC7-4E8E-44AA-A229-92B08D0FB04C}"/>
    <cellStyle name="40% - Accent2 2 2 5 2 3" xfId="12179" xr:uid="{6838B3CC-DD73-4887-A31D-3396C5ACC103}"/>
    <cellStyle name="40% - Accent2 2 2 5 3" xfId="5802" xr:uid="{00000000-0005-0000-0000-000083040000}"/>
    <cellStyle name="40% - Accent2 2 2 5 3 2" xfId="14252" xr:uid="{AA81166B-2271-4ADD-86BF-C420717B0550}"/>
    <cellStyle name="40% - Accent2 2 2 5 4" xfId="10034" xr:uid="{D2BDE576-9B25-42EF-892B-E171A0AC87D8}"/>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F0B2235B-EDC2-4044-B884-9C882231E523}"/>
    <cellStyle name="40% - Accent2 2 2 6 2 3" xfId="12592" xr:uid="{7C611592-57B8-44F9-8EEE-2F1442709AB0}"/>
    <cellStyle name="40% - Accent2 2 2 6 3" xfId="6215" xr:uid="{00000000-0005-0000-0000-000087040000}"/>
    <cellStyle name="40% - Accent2 2 2 6 3 2" xfId="14665" xr:uid="{90921410-75EB-463E-9131-0565C64622DC}"/>
    <cellStyle name="40% - Accent2 2 2 6 4" xfId="10447" xr:uid="{92FACCD6-F7C3-4BF1-A753-AAB4BE98586B}"/>
    <cellStyle name="40% - Accent2 2 2 7" xfId="2322" xr:uid="{00000000-0005-0000-0000-000088040000}"/>
    <cellStyle name="40% - Accent2 2 2 7 2" xfId="6628" xr:uid="{00000000-0005-0000-0000-000089040000}"/>
    <cellStyle name="40% - Accent2 2 2 7 2 2" xfId="15078" xr:uid="{D0B86415-07C5-48F6-AB04-BF47A17091AD}"/>
    <cellStyle name="40% - Accent2 2 2 7 3" xfId="10860" xr:uid="{2DCC02DA-490C-4F75-B0DA-4E7625322D67}"/>
    <cellStyle name="40% - Accent2 2 2 8" xfId="4562" xr:uid="{00000000-0005-0000-0000-00008A040000}"/>
    <cellStyle name="40% - Accent2 2 2 8 2" xfId="13012" xr:uid="{4AC3A987-7869-442E-8F63-2D0089263714}"/>
    <cellStyle name="40% - Accent2 2 2 9" xfId="8794" xr:uid="{890065D1-BE82-4024-BBF3-EBF7BE88C02A}"/>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5BE99788-732F-4EF8-AE18-4FFE02FDC7F2}"/>
    <cellStyle name="40% - Accent2 2 3 2 2 3" xfId="11355" xr:uid="{DB20E647-B856-496C-84C5-E43B07E3998F}"/>
    <cellStyle name="40% - Accent2 2 3 2 3" xfId="4978" xr:uid="{00000000-0005-0000-0000-00008F040000}"/>
    <cellStyle name="40% - Accent2 2 3 2 3 2" xfId="13428" xr:uid="{5D18BC58-19AC-4E0B-9067-845DAFFA99EF}"/>
    <cellStyle name="40% - Accent2 2 3 2 4" xfId="9210" xr:uid="{1C5747AB-9C9B-4229-B313-FE1DA5B786A3}"/>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445BD2A7-1673-41E6-B84E-5AA603ADB779}"/>
    <cellStyle name="40% - Accent2 2 3 3 2 3" xfId="11768" xr:uid="{2733AFDB-338F-4A9E-ADDB-C8BCF32E7A00}"/>
    <cellStyle name="40% - Accent2 2 3 3 3" xfId="5391" xr:uid="{00000000-0005-0000-0000-000093040000}"/>
    <cellStyle name="40% - Accent2 2 3 3 3 2" xfId="13841" xr:uid="{67BB485C-4B49-4483-A4F1-2D2FD6F0D456}"/>
    <cellStyle name="40% - Accent2 2 3 3 4" xfId="9623" xr:uid="{028C5A6D-D615-4C16-9421-FD6DA0BC8EC0}"/>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26C9774B-C3D0-4E68-AA5E-B8446B13AB7E}"/>
    <cellStyle name="40% - Accent2 2 3 4 2 3" xfId="12181" xr:uid="{AFCA2C61-BB24-4778-A8DC-FBA9FE190B86}"/>
    <cellStyle name="40% - Accent2 2 3 4 3" xfId="5804" xr:uid="{00000000-0005-0000-0000-000097040000}"/>
    <cellStyle name="40% - Accent2 2 3 4 3 2" xfId="14254" xr:uid="{8E259CD5-153D-49E9-B56C-617483DDA8FB}"/>
    <cellStyle name="40% - Accent2 2 3 4 4" xfId="10036" xr:uid="{484962D0-EF5A-4AA4-A305-60C768ACA4F4}"/>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6A4D969B-2AD7-48C9-8A2B-5227CADE3816}"/>
    <cellStyle name="40% - Accent2 2 3 5 2 3" xfId="12594" xr:uid="{20F9E906-DBC4-485B-882C-9F48273E1699}"/>
    <cellStyle name="40% - Accent2 2 3 5 3" xfId="6217" xr:uid="{00000000-0005-0000-0000-00009B040000}"/>
    <cellStyle name="40% - Accent2 2 3 5 3 2" xfId="14667" xr:uid="{E439E869-B6EF-44B0-AD87-3C3DB075F0A2}"/>
    <cellStyle name="40% - Accent2 2 3 5 4" xfId="10449" xr:uid="{3512A591-F7AC-4132-9FD1-CA4A275D1D6D}"/>
    <cellStyle name="40% - Accent2 2 3 6" xfId="2324" xr:uid="{00000000-0005-0000-0000-00009C040000}"/>
    <cellStyle name="40% - Accent2 2 3 6 2" xfId="6630" xr:uid="{00000000-0005-0000-0000-00009D040000}"/>
    <cellStyle name="40% - Accent2 2 3 6 2 2" xfId="15080" xr:uid="{29632471-0B44-4881-AAD6-245E0787620C}"/>
    <cellStyle name="40% - Accent2 2 3 6 3" xfId="10862" xr:uid="{09E0C3BC-CA0D-4A85-ABEA-D4700D08A844}"/>
    <cellStyle name="40% - Accent2 2 3 7" xfId="4564" xr:uid="{00000000-0005-0000-0000-00009E040000}"/>
    <cellStyle name="40% - Accent2 2 3 7 2" xfId="13014" xr:uid="{CB12E6F6-7C98-41EF-B999-9027E6D3265E}"/>
    <cellStyle name="40% - Accent2 2 3 8" xfId="8796" xr:uid="{724A60A4-0A71-4686-828A-301559F26819}"/>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BCF7C856-C7E0-43FD-A211-E976336B671B}"/>
    <cellStyle name="40% - Accent2 2 4 2 3" xfId="11352" xr:uid="{D076452D-D7D4-434F-9F44-5FBC29AB3F29}"/>
    <cellStyle name="40% - Accent2 2 4 3" xfId="4975" xr:uid="{00000000-0005-0000-0000-0000A2040000}"/>
    <cellStyle name="40% - Accent2 2 4 3 2" xfId="13425" xr:uid="{58F0B5FA-CE81-42ED-95EA-73DE488BCB97}"/>
    <cellStyle name="40% - Accent2 2 4 4" xfId="9207" xr:uid="{CCE74E65-C20B-4EE6-A0A8-73E485C7CA70}"/>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CD308E9B-FF36-4BE1-9C19-FA85BA155441}"/>
    <cellStyle name="40% - Accent2 2 5 2 3" xfId="11765" xr:uid="{29296DE6-84DD-4BE2-988A-FDE7D886F1AB}"/>
    <cellStyle name="40% - Accent2 2 5 3" xfId="5388" xr:uid="{00000000-0005-0000-0000-0000A6040000}"/>
    <cellStyle name="40% - Accent2 2 5 3 2" xfId="13838" xr:uid="{F3D0B93A-477A-4529-AB90-E037B27854BF}"/>
    <cellStyle name="40% - Accent2 2 5 4" xfId="9620" xr:uid="{9C7B1796-8373-4ACB-BBF9-70D9CD0EAF0F}"/>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BC3D1E69-D2C3-4E64-9E04-F8A1EA011748}"/>
    <cellStyle name="40% - Accent2 2 6 2 3" xfId="12178" xr:uid="{E49A54B6-1AE5-49A4-93F2-F720615CD9ED}"/>
    <cellStyle name="40% - Accent2 2 6 3" xfId="5801" xr:uid="{00000000-0005-0000-0000-0000AA040000}"/>
    <cellStyle name="40% - Accent2 2 6 3 2" xfId="14251" xr:uid="{46094EF4-34BC-4257-A4CA-A9CBD105E6EF}"/>
    <cellStyle name="40% - Accent2 2 6 4" xfId="10033" xr:uid="{0BDB09D5-A48F-4440-ABA3-3168FCC1B94A}"/>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52E78B4F-172A-4EAA-BD5A-83FAD6E006AE}"/>
    <cellStyle name="40% - Accent2 2 7 2 3" xfId="12591" xr:uid="{B0E417EB-38E5-4E1B-965C-4436BB90CAA6}"/>
    <cellStyle name="40% - Accent2 2 7 3" xfId="6214" xr:uid="{00000000-0005-0000-0000-0000AE040000}"/>
    <cellStyle name="40% - Accent2 2 7 3 2" xfId="14664" xr:uid="{7F3A6C24-84B5-4EE1-8CCD-88D5428A57A9}"/>
    <cellStyle name="40% - Accent2 2 7 4" xfId="10446" xr:uid="{7A8E1769-05AB-4A62-B794-CE9A9986AC24}"/>
    <cellStyle name="40% - Accent2 2 8" xfId="2321" xr:uid="{00000000-0005-0000-0000-0000AF040000}"/>
    <cellStyle name="40% - Accent2 2 8 2" xfId="6627" xr:uid="{00000000-0005-0000-0000-0000B0040000}"/>
    <cellStyle name="40% - Accent2 2 8 2 2" xfId="15077" xr:uid="{1FA28801-207A-461D-80FF-0680DF0BEA52}"/>
    <cellStyle name="40% - Accent2 2 8 3" xfId="10859" xr:uid="{FAC49B8D-E904-4857-BAD2-3933096EE322}"/>
    <cellStyle name="40% - Accent2 2 9" xfId="4561" xr:uid="{00000000-0005-0000-0000-0000B1040000}"/>
    <cellStyle name="40% - Accent2 2 9 2" xfId="13011" xr:uid="{DABA3C15-B0A8-4AE4-B7F4-80123E326492}"/>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0AE68327-0650-40E8-A247-030084E6DD6B}"/>
    <cellStyle name="40% - Accent2 3 2 2 2 3" xfId="11357" xr:uid="{0C122A81-501F-48DA-94F4-1816798AFECB}"/>
    <cellStyle name="40% - Accent2 3 2 2 3" xfId="4980" xr:uid="{00000000-0005-0000-0000-0000B7040000}"/>
    <cellStyle name="40% - Accent2 3 2 2 3 2" xfId="13430" xr:uid="{9BCEF774-0555-4939-B46E-0A07C879E376}"/>
    <cellStyle name="40% - Accent2 3 2 2 4" xfId="9212" xr:uid="{BC947B07-7F07-472C-950A-10DBF9FDBC74}"/>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E129F30D-C127-4CAB-9D16-C01A8595BFD3}"/>
    <cellStyle name="40% - Accent2 3 2 3 2 3" xfId="11770" xr:uid="{CF5709E5-7899-4E69-843E-D982F5DCBDC4}"/>
    <cellStyle name="40% - Accent2 3 2 3 3" xfId="5393" xr:uid="{00000000-0005-0000-0000-0000BB040000}"/>
    <cellStyle name="40% - Accent2 3 2 3 3 2" xfId="13843" xr:uid="{DAB80B36-6A8D-4398-853B-F4D487A47A8E}"/>
    <cellStyle name="40% - Accent2 3 2 3 4" xfId="9625" xr:uid="{3E09E902-F4DF-4195-BF85-F0EDAFF98AC8}"/>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BAB40614-7D16-4816-8409-BE01AD110953}"/>
    <cellStyle name="40% - Accent2 3 2 4 2 3" xfId="12183" xr:uid="{E8DE8E2F-49AF-4A24-ABC6-D644512E383F}"/>
    <cellStyle name="40% - Accent2 3 2 4 3" xfId="5806" xr:uid="{00000000-0005-0000-0000-0000BF040000}"/>
    <cellStyle name="40% - Accent2 3 2 4 3 2" xfId="14256" xr:uid="{2E141283-EA59-4803-BBFF-E7E8E6DD52BD}"/>
    <cellStyle name="40% - Accent2 3 2 4 4" xfId="10038" xr:uid="{7C7E1881-A559-43AC-B449-8A7910F2AADE}"/>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6C194472-8D0C-4D60-A7FF-3120376C08F0}"/>
    <cellStyle name="40% - Accent2 3 2 5 2 3" xfId="12596" xr:uid="{A7EBD56D-CC77-4EE0-9072-86C179E95DE4}"/>
    <cellStyle name="40% - Accent2 3 2 5 3" xfId="6219" xr:uid="{00000000-0005-0000-0000-0000C3040000}"/>
    <cellStyle name="40% - Accent2 3 2 5 3 2" xfId="14669" xr:uid="{05E7E35E-DAD3-4E7C-92AF-064728405184}"/>
    <cellStyle name="40% - Accent2 3 2 5 4" xfId="10451" xr:uid="{A3892A42-EB98-4D24-98A7-5D7703EC6F1D}"/>
    <cellStyle name="40% - Accent2 3 2 6" xfId="2326" xr:uid="{00000000-0005-0000-0000-0000C4040000}"/>
    <cellStyle name="40% - Accent2 3 2 6 2" xfId="6632" xr:uid="{00000000-0005-0000-0000-0000C5040000}"/>
    <cellStyle name="40% - Accent2 3 2 6 2 2" xfId="15082" xr:uid="{42915733-624F-4CCF-8BC3-3B62017FA9C0}"/>
    <cellStyle name="40% - Accent2 3 2 6 3" xfId="10864" xr:uid="{43A71A04-4030-45CF-84FA-BDD3B08875A8}"/>
    <cellStyle name="40% - Accent2 3 2 7" xfId="4566" xr:uid="{00000000-0005-0000-0000-0000C6040000}"/>
    <cellStyle name="40% - Accent2 3 2 7 2" xfId="13016" xr:uid="{5B623172-FA8E-4671-B4EE-DDCC64457E1B}"/>
    <cellStyle name="40% - Accent2 3 2 8" xfId="8798" xr:uid="{09B3A4EE-42F1-4F92-9BA0-7AD2AADA2E34}"/>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FC450EFF-38B9-434C-AFA7-7A650D216EEB}"/>
    <cellStyle name="40% - Accent2 3 3 2 3" xfId="11356" xr:uid="{F85B7C7D-684A-4E62-ADA4-109A487604E6}"/>
    <cellStyle name="40% - Accent2 3 3 3" xfId="4979" xr:uid="{00000000-0005-0000-0000-0000CA040000}"/>
    <cellStyle name="40% - Accent2 3 3 3 2" xfId="13429" xr:uid="{94D4A08E-BF66-4C4A-9186-C0689A18552B}"/>
    <cellStyle name="40% - Accent2 3 3 4" xfId="9211" xr:uid="{09780CC1-AECE-46F3-A3B2-C5E228897ADF}"/>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EB7C2DA2-4093-4325-B667-7DAA763F05EB}"/>
    <cellStyle name="40% - Accent2 3 4 2 3" xfId="11769" xr:uid="{66E534F1-4BCC-4191-B212-E337562C1A52}"/>
    <cellStyle name="40% - Accent2 3 4 3" xfId="5392" xr:uid="{00000000-0005-0000-0000-0000CE040000}"/>
    <cellStyle name="40% - Accent2 3 4 3 2" xfId="13842" xr:uid="{23E26C35-AD61-4D54-A608-BA6F4EE9E393}"/>
    <cellStyle name="40% - Accent2 3 4 4" xfId="9624" xr:uid="{E34346EE-5F0D-4444-A6B5-A8D4277EE956}"/>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1F6CEAA3-4F96-4FFC-9F37-4B95AC82BC69}"/>
    <cellStyle name="40% - Accent2 3 5 2 3" xfId="12182" xr:uid="{D63F56B6-1F80-436A-816D-4380A9FF42FF}"/>
    <cellStyle name="40% - Accent2 3 5 3" xfId="5805" xr:uid="{00000000-0005-0000-0000-0000D2040000}"/>
    <cellStyle name="40% - Accent2 3 5 3 2" xfId="14255" xr:uid="{A19B10A3-7918-438B-AAFD-22ACA38A1FF0}"/>
    <cellStyle name="40% - Accent2 3 5 4" xfId="10037" xr:uid="{3B5DF6D5-A8AA-49B0-AC27-273B86F031E6}"/>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1FCF167C-9AE1-48DA-B71F-7DD16651A85F}"/>
    <cellStyle name="40% - Accent2 3 6 2 3" xfId="12595" xr:uid="{B9D6EAB7-8D9F-44C1-B723-AD68A5F793EC}"/>
    <cellStyle name="40% - Accent2 3 6 3" xfId="6218" xr:uid="{00000000-0005-0000-0000-0000D6040000}"/>
    <cellStyle name="40% - Accent2 3 6 3 2" xfId="14668" xr:uid="{57B56D1E-0E77-43F7-8638-27C58BE6379F}"/>
    <cellStyle name="40% - Accent2 3 6 4" xfId="10450" xr:uid="{8D552579-7BAE-43DB-B20D-41044D5D7428}"/>
    <cellStyle name="40% - Accent2 3 7" xfId="2325" xr:uid="{00000000-0005-0000-0000-0000D7040000}"/>
    <cellStyle name="40% - Accent2 3 7 2" xfId="6631" xr:uid="{00000000-0005-0000-0000-0000D8040000}"/>
    <cellStyle name="40% - Accent2 3 7 2 2" xfId="15081" xr:uid="{90372321-739B-4500-9E14-9CD8219267F9}"/>
    <cellStyle name="40% - Accent2 3 7 3" xfId="10863" xr:uid="{D7AECC85-F3A7-4E4E-8F69-725791DDA9B2}"/>
    <cellStyle name="40% - Accent2 3 8" xfId="4565" xr:uid="{00000000-0005-0000-0000-0000D9040000}"/>
    <cellStyle name="40% - Accent2 3 8 2" xfId="13015" xr:uid="{E25A80D0-3652-46C1-955D-3FCAFC0B679E}"/>
    <cellStyle name="40% - Accent2 3 9" xfId="8797" xr:uid="{34DFA29B-B4F2-4AF0-B3BE-1476C7647CD3}"/>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C012F09A-BD42-436B-AFA6-1FA708BA6A22}"/>
    <cellStyle name="40% - Accent2 4 2 2 3" xfId="11358" xr:uid="{C5FF5ECC-2EF3-4AA3-8223-23F1287644DA}"/>
    <cellStyle name="40% - Accent2 4 2 3" xfId="4981" xr:uid="{00000000-0005-0000-0000-0000DE040000}"/>
    <cellStyle name="40% - Accent2 4 2 3 2" xfId="13431" xr:uid="{73E0021B-C7F5-4D51-A9E3-0B2F103716AB}"/>
    <cellStyle name="40% - Accent2 4 2 4" xfId="9213" xr:uid="{6EA820A3-2219-400A-ACE6-D45607470341}"/>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3BDCB0B0-CDD5-4B8D-929B-507D2E00DEE2}"/>
    <cellStyle name="40% - Accent2 4 3 2 3" xfId="11771" xr:uid="{2FEC24F7-32B7-46AE-AB36-3311E62BC00B}"/>
    <cellStyle name="40% - Accent2 4 3 3" xfId="5394" xr:uid="{00000000-0005-0000-0000-0000E2040000}"/>
    <cellStyle name="40% - Accent2 4 3 3 2" xfId="13844" xr:uid="{73C8EE03-187B-48DC-B961-3045D96EA485}"/>
    <cellStyle name="40% - Accent2 4 3 4" xfId="9626" xr:uid="{4545F8B3-D04C-4310-BC95-E04512B56175}"/>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1286772C-2477-4D4C-87FD-EAD305647C0D}"/>
    <cellStyle name="40% - Accent2 4 4 2 3" xfId="12184" xr:uid="{7A0BADBE-F211-4E02-803A-CF65AF1B008C}"/>
    <cellStyle name="40% - Accent2 4 4 3" xfId="5807" xr:uid="{00000000-0005-0000-0000-0000E6040000}"/>
    <cellStyle name="40% - Accent2 4 4 3 2" xfId="14257" xr:uid="{7E5D2524-338D-4316-8778-26A0D610012A}"/>
    <cellStyle name="40% - Accent2 4 4 4" xfId="10039" xr:uid="{649179F4-1A59-4740-A684-3F50E63B547A}"/>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73C80D4B-B1E2-46B6-B0DD-0A54BBB40725}"/>
    <cellStyle name="40% - Accent2 4 5 2 3" xfId="12597" xr:uid="{4DAA3F00-1ED0-41A6-B522-EF9623E5C941}"/>
    <cellStyle name="40% - Accent2 4 5 3" xfId="6220" xr:uid="{00000000-0005-0000-0000-0000EA040000}"/>
    <cellStyle name="40% - Accent2 4 5 3 2" xfId="14670" xr:uid="{7D009249-3D32-4F73-A085-DF9623361B2D}"/>
    <cellStyle name="40% - Accent2 4 5 4" xfId="10452" xr:uid="{7CA06803-F55A-410A-B1CC-5FD1E11D49C7}"/>
    <cellStyle name="40% - Accent2 4 6" xfId="2327" xr:uid="{00000000-0005-0000-0000-0000EB040000}"/>
    <cellStyle name="40% - Accent2 4 6 2" xfId="6633" xr:uid="{00000000-0005-0000-0000-0000EC040000}"/>
    <cellStyle name="40% - Accent2 4 6 2 2" xfId="15083" xr:uid="{46B0FB65-C6BD-4ABA-9CD8-D5F12616FB28}"/>
    <cellStyle name="40% - Accent2 4 6 3" xfId="10865" xr:uid="{5345843E-AB04-446C-A73F-FBFCF0C41A54}"/>
    <cellStyle name="40% - Accent2 4 7" xfId="4567" xr:uid="{00000000-0005-0000-0000-0000ED040000}"/>
    <cellStyle name="40% - Accent2 4 7 2" xfId="13017" xr:uid="{F5E798C2-E614-40BF-9DF5-8BCD5AE10569}"/>
    <cellStyle name="40% - Accent2 4 8" xfId="8799" xr:uid="{40EC522F-D3B2-4707-BE39-933911817014}"/>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4ABD8757-5450-40F9-ABF3-8671964CF49C}"/>
    <cellStyle name="40% - Accent2 5 2 3" xfId="11351" xr:uid="{429A9297-BE3D-40B6-8F74-55087186849C}"/>
    <cellStyle name="40% - Accent2 5 3" xfId="4974" xr:uid="{00000000-0005-0000-0000-0000F1040000}"/>
    <cellStyle name="40% - Accent2 5 3 2" xfId="13424" xr:uid="{26355F5F-127F-4C33-AEA9-B8966187DFAB}"/>
    <cellStyle name="40% - Accent2 5 4" xfId="9206" xr:uid="{37841606-B820-40B3-9A08-B484197A02D4}"/>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9EE23055-3A4D-475D-93F4-89DBC71E344D}"/>
    <cellStyle name="40% - Accent2 6 2 3" xfId="11764" xr:uid="{60705E43-BD14-451F-BD5A-AC34807DAAD3}"/>
    <cellStyle name="40% - Accent2 6 3" xfId="5387" xr:uid="{00000000-0005-0000-0000-0000F5040000}"/>
    <cellStyle name="40% - Accent2 6 3 2" xfId="13837" xr:uid="{715C9EB2-6935-4042-89C9-6B0FE416206E}"/>
    <cellStyle name="40% - Accent2 6 4" xfId="9619" xr:uid="{861A4550-80C5-4AA9-96F0-A212235AD5A7}"/>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C4ECE62C-251E-4058-A56B-7B16D019249E}"/>
    <cellStyle name="40% - Accent2 7 2 3" xfId="12177" xr:uid="{ACF5C942-03DD-490D-AB87-76E2AB7751E3}"/>
    <cellStyle name="40% - Accent2 7 3" xfId="5800" xr:uid="{00000000-0005-0000-0000-0000F9040000}"/>
    <cellStyle name="40% - Accent2 7 3 2" xfId="14250" xr:uid="{E60CE799-E764-4B19-88E1-ABFC5863E088}"/>
    <cellStyle name="40% - Accent2 7 4" xfId="10032" xr:uid="{EE707CA7-A684-4454-8843-918D2C0F932B}"/>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657A9B56-4A8E-45F8-9866-8329B78540F3}"/>
    <cellStyle name="40% - Accent2 8 2 3" xfId="12590" xr:uid="{7EB1EB95-1890-44BC-B34A-79EDD5EF56B6}"/>
    <cellStyle name="40% - Accent2 8 3" xfId="6213" xr:uid="{00000000-0005-0000-0000-0000FD040000}"/>
    <cellStyle name="40% - Accent2 8 3 2" xfId="14663" xr:uid="{BD87729A-1256-4FF7-9CBA-D16F443C8023}"/>
    <cellStyle name="40% - Accent2 8 4" xfId="10445" xr:uid="{037CC34B-4ABC-4002-AA5F-ABF5BB3FAFDE}"/>
    <cellStyle name="40% - Accent2 9" xfId="2320" xr:uid="{00000000-0005-0000-0000-0000FE040000}"/>
    <cellStyle name="40% - Accent2 9 2" xfId="6626" xr:uid="{00000000-0005-0000-0000-0000FF040000}"/>
    <cellStyle name="40% - Accent2 9 2 2" xfId="15076" xr:uid="{C292A88E-3A7A-4E39-8629-A6BB2A5DF0CE}"/>
    <cellStyle name="40% - Accent2 9 3" xfId="10858" xr:uid="{8E38D516-382E-4944-9BB6-C271159D6C22}"/>
    <cellStyle name="40% - Accent3" xfId="65" builtinId="39" customBuiltin="1"/>
    <cellStyle name="40% - Accent3 10" xfId="4568" xr:uid="{00000000-0005-0000-0000-000001050000}"/>
    <cellStyle name="40% - Accent3 10 2" xfId="13018" xr:uid="{656842B2-4A18-4424-AA36-282D6A07B2C2}"/>
    <cellStyle name="40% - Accent3 11" xfId="8800" xr:uid="{BA8E1545-5CDF-436F-B6C4-9E19F4351D82}"/>
    <cellStyle name="40% - Accent3 2" xfId="66" xr:uid="{00000000-0005-0000-0000-000002050000}"/>
    <cellStyle name="40% - Accent3 2 10" xfId="8801" xr:uid="{B4ED8FA8-2F68-4941-89DF-4AE628536DB7}"/>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661D49FC-4B50-4312-8540-E186B51DDDF4}"/>
    <cellStyle name="40% - Accent3 2 2 2 2 2 3" xfId="11362" xr:uid="{8CCF0FE9-8576-4584-B810-B4B995C9215C}"/>
    <cellStyle name="40% - Accent3 2 2 2 2 3" xfId="4985" xr:uid="{00000000-0005-0000-0000-000008050000}"/>
    <cellStyle name="40% - Accent3 2 2 2 2 3 2" xfId="13435" xr:uid="{85A9E1AC-88C4-47AF-A367-C44E2F6E9BC3}"/>
    <cellStyle name="40% - Accent3 2 2 2 2 4" xfId="9217" xr:uid="{36D2344C-BAF8-4E20-A331-433036C86B07}"/>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94BF4902-7D86-46E5-925C-C1CA31484BC8}"/>
    <cellStyle name="40% - Accent3 2 2 2 3 2 3" xfId="11775" xr:uid="{2952D025-62CC-462B-988D-7E48043F1456}"/>
    <cellStyle name="40% - Accent3 2 2 2 3 3" xfId="5398" xr:uid="{00000000-0005-0000-0000-00000C050000}"/>
    <cellStyle name="40% - Accent3 2 2 2 3 3 2" xfId="13848" xr:uid="{2AB71E4C-C03E-4065-8879-864818BDFBF6}"/>
    <cellStyle name="40% - Accent3 2 2 2 3 4" xfId="9630" xr:uid="{32614103-AFBC-4ACC-87B8-20CBBC76E782}"/>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73DF3A11-9EB1-4A57-A96D-77988E92BD9C}"/>
    <cellStyle name="40% - Accent3 2 2 2 4 2 3" xfId="12188" xr:uid="{04CB4992-1350-4582-8EB7-B03252C48282}"/>
    <cellStyle name="40% - Accent3 2 2 2 4 3" xfId="5811" xr:uid="{00000000-0005-0000-0000-000010050000}"/>
    <cellStyle name="40% - Accent3 2 2 2 4 3 2" xfId="14261" xr:uid="{F9345105-616E-44E2-9ABD-71B88BA7897A}"/>
    <cellStyle name="40% - Accent3 2 2 2 4 4" xfId="10043" xr:uid="{910B8644-6B4C-4CC1-9C48-AE7F9902B49B}"/>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4D14B2B4-78B6-4A56-84E3-C0422E262AC6}"/>
    <cellStyle name="40% - Accent3 2 2 2 5 2 3" xfId="12601" xr:uid="{32AB4025-EFB8-4113-866C-F0A8918FD1C5}"/>
    <cellStyle name="40% - Accent3 2 2 2 5 3" xfId="6224" xr:uid="{00000000-0005-0000-0000-000014050000}"/>
    <cellStyle name="40% - Accent3 2 2 2 5 3 2" xfId="14674" xr:uid="{841B8268-B0F8-44EB-975C-834F68EDE0E8}"/>
    <cellStyle name="40% - Accent3 2 2 2 5 4" xfId="10456" xr:uid="{4C1B2F2B-FC6F-4C95-9635-A7C0BB26996C}"/>
    <cellStyle name="40% - Accent3 2 2 2 6" xfId="2331" xr:uid="{00000000-0005-0000-0000-000015050000}"/>
    <cellStyle name="40% - Accent3 2 2 2 6 2" xfId="6637" xr:uid="{00000000-0005-0000-0000-000016050000}"/>
    <cellStyle name="40% - Accent3 2 2 2 6 2 2" xfId="15087" xr:uid="{DFEA6F19-05F4-4A20-9191-6CE9F2784D26}"/>
    <cellStyle name="40% - Accent3 2 2 2 6 3" xfId="10869" xr:uid="{4876B27E-0DE2-40FA-AA4C-D98360AA8CB7}"/>
    <cellStyle name="40% - Accent3 2 2 2 7" xfId="4571" xr:uid="{00000000-0005-0000-0000-000017050000}"/>
    <cellStyle name="40% - Accent3 2 2 2 7 2" xfId="13021" xr:uid="{D440D212-595B-4F05-A741-FDE9E6BD5ED9}"/>
    <cellStyle name="40% - Accent3 2 2 2 8" xfId="8803" xr:uid="{39B6DEBA-0006-4168-ACF9-59487368C431}"/>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E633D1B8-90D4-478A-ACED-8982B27862E5}"/>
    <cellStyle name="40% - Accent3 2 2 3 2 3" xfId="11361" xr:uid="{93A139CA-C337-4C5B-A8C9-ED8A2AD65724}"/>
    <cellStyle name="40% - Accent3 2 2 3 3" xfId="4984" xr:uid="{00000000-0005-0000-0000-00001B050000}"/>
    <cellStyle name="40% - Accent3 2 2 3 3 2" xfId="13434" xr:uid="{62930991-FB3F-4469-9613-AD02AD58D087}"/>
    <cellStyle name="40% - Accent3 2 2 3 4" xfId="9216" xr:uid="{E8CE67EF-E07D-4764-8480-C1F4F0E13824}"/>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8E50BA72-0E4D-467A-A1D8-A3EE362F0470}"/>
    <cellStyle name="40% - Accent3 2 2 4 2 3" xfId="11774" xr:uid="{7274D782-07ED-4EA7-A455-9BE6A942557C}"/>
    <cellStyle name="40% - Accent3 2 2 4 3" xfId="5397" xr:uid="{00000000-0005-0000-0000-00001F050000}"/>
    <cellStyle name="40% - Accent3 2 2 4 3 2" xfId="13847" xr:uid="{8B1301F4-8674-4A21-9690-0372BA8E5E63}"/>
    <cellStyle name="40% - Accent3 2 2 4 4" xfId="9629" xr:uid="{F77BF051-A465-4927-8E73-56EE318F356F}"/>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DA2E49EA-8545-4A0F-900D-9FF861618391}"/>
    <cellStyle name="40% - Accent3 2 2 5 2 3" xfId="12187" xr:uid="{FDB11D00-F6DD-4161-8CE8-518EE0B1A67E}"/>
    <cellStyle name="40% - Accent3 2 2 5 3" xfId="5810" xr:uid="{00000000-0005-0000-0000-000023050000}"/>
    <cellStyle name="40% - Accent3 2 2 5 3 2" xfId="14260" xr:uid="{3056F9BF-1462-4CBD-88B0-FB646DF7BD37}"/>
    <cellStyle name="40% - Accent3 2 2 5 4" xfId="10042" xr:uid="{BB0323FC-0D69-4154-9ABC-40867674DB92}"/>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50C15976-5206-47F1-B1F2-B8E11E148C9F}"/>
    <cellStyle name="40% - Accent3 2 2 6 2 3" xfId="12600" xr:uid="{ADA93163-FAFD-4844-9D7B-FDF3A1853AB2}"/>
    <cellStyle name="40% - Accent3 2 2 6 3" xfId="6223" xr:uid="{00000000-0005-0000-0000-000027050000}"/>
    <cellStyle name="40% - Accent3 2 2 6 3 2" xfId="14673" xr:uid="{70344E54-0B11-4222-AC4A-D66E297853C0}"/>
    <cellStyle name="40% - Accent3 2 2 6 4" xfId="10455" xr:uid="{17AE9C1A-3ABC-46C2-A2F7-F4446D9408C7}"/>
    <cellStyle name="40% - Accent3 2 2 7" xfId="2330" xr:uid="{00000000-0005-0000-0000-000028050000}"/>
    <cellStyle name="40% - Accent3 2 2 7 2" xfId="6636" xr:uid="{00000000-0005-0000-0000-000029050000}"/>
    <cellStyle name="40% - Accent3 2 2 7 2 2" xfId="15086" xr:uid="{9987401D-4543-43D0-B2C2-DBD720DAE378}"/>
    <cellStyle name="40% - Accent3 2 2 7 3" xfId="10868" xr:uid="{1AC35820-F920-49A5-9E3C-FD05CAA869C1}"/>
    <cellStyle name="40% - Accent3 2 2 8" xfId="4570" xr:uid="{00000000-0005-0000-0000-00002A050000}"/>
    <cellStyle name="40% - Accent3 2 2 8 2" xfId="13020" xr:uid="{D4EADD1D-8354-4D5F-98D8-15FCF0B5E8A2}"/>
    <cellStyle name="40% - Accent3 2 2 9" xfId="8802" xr:uid="{3C687C80-8BD7-4A8E-BC7F-5B6BC2C06AC1}"/>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A043C1F8-2958-449A-BA5B-604AFB41F783}"/>
    <cellStyle name="40% - Accent3 2 3 2 2 3" xfId="11363" xr:uid="{058008D4-6404-470A-A635-3FFEE0590CE2}"/>
    <cellStyle name="40% - Accent3 2 3 2 3" xfId="4986" xr:uid="{00000000-0005-0000-0000-00002F050000}"/>
    <cellStyle name="40% - Accent3 2 3 2 3 2" xfId="13436" xr:uid="{35B07033-340D-4BD1-9482-FF7BF5E34896}"/>
    <cellStyle name="40% - Accent3 2 3 2 4" xfId="9218" xr:uid="{36E36F49-2E69-4ECC-99F0-44B55C20DD5F}"/>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4E3C7230-67D8-470D-B658-3E715A3F8925}"/>
    <cellStyle name="40% - Accent3 2 3 3 2 3" xfId="11776" xr:uid="{934CB5BA-CBED-45EF-A70B-B6AFC417403A}"/>
    <cellStyle name="40% - Accent3 2 3 3 3" xfId="5399" xr:uid="{00000000-0005-0000-0000-000033050000}"/>
    <cellStyle name="40% - Accent3 2 3 3 3 2" xfId="13849" xr:uid="{4F592430-E821-4A8C-A361-C66A69234716}"/>
    <cellStyle name="40% - Accent3 2 3 3 4" xfId="9631" xr:uid="{7E4438D8-83FA-4CE7-904C-14784F287D49}"/>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20EBFCD9-815F-4FF3-A5CA-ACE7C90B841A}"/>
    <cellStyle name="40% - Accent3 2 3 4 2 3" xfId="12189" xr:uid="{AEBF9DF7-D48C-4E29-885D-22EED1C6988A}"/>
    <cellStyle name="40% - Accent3 2 3 4 3" xfId="5812" xr:uid="{00000000-0005-0000-0000-000037050000}"/>
    <cellStyle name="40% - Accent3 2 3 4 3 2" xfId="14262" xr:uid="{CDF29948-821F-422C-A3EF-39E72B8F93AB}"/>
    <cellStyle name="40% - Accent3 2 3 4 4" xfId="10044" xr:uid="{C57BB6CA-4CD9-4173-AAE0-E75FC18EECA1}"/>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CE496771-99E4-44AA-AF3D-F265599B429C}"/>
    <cellStyle name="40% - Accent3 2 3 5 2 3" xfId="12602" xr:uid="{F7007497-6616-41A3-A982-4A019E5CBBB5}"/>
    <cellStyle name="40% - Accent3 2 3 5 3" xfId="6225" xr:uid="{00000000-0005-0000-0000-00003B050000}"/>
    <cellStyle name="40% - Accent3 2 3 5 3 2" xfId="14675" xr:uid="{D7C85F2D-965A-4255-BB95-819C2D113713}"/>
    <cellStyle name="40% - Accent3 2 3 5 4" xfId="10457" xr:uid="{7AC586AA-E8D5-4FAD-B59B-A66616D45D60}"/>
    <cellStyle name="40% - Accent3 2 3 6" xfId="2332" xr:uid="{00000000-0005-0000-0000-00003C050000}"/>
    <cellStyle name="40% - Accent3 2 3 6 2" xfId="6638" xr:uid="{00000000-0005-0000-0000-00003D050000}"/>
    <cellStyle name="40% - Accent3 2 3 6 2 2" xfId="15088" xr:uid="{EF3A1EE3-4BA9-46BF-A8A2-80BA4A606465}"/>
    <cellStyle name="40% - Accent3 2 3 6 3" xfId="10870" xr:uid="{F11C4DAD-DA88-43AB-9FAB-A73B7FF0EF3B}"/>
    <cellStyle name="40% - Accent3 2 3 7" xfId="4572" xr:uid="{00000000-0005-0000-0000-00003E050000}"/>
    <cellStyle name="40% - Accent3 2 3 7 2" xfId="13022" xr:uid="{D97BF714-1269-427C-8A0C-C46BCADAA1B6}"/>
    <cellStyle name="40% - Accent3 2 3 8" xfId="8804" xr:uid="{4CCC5D80-FF99-4572-8769-7FF082EF13B2}"/>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435C2F39-C0CA-490C-B1D6-3EE067AF7219}"/>
    <cellStyle name="40% - Accent3 2 4 2 3" xfId="11360" xr:uid="{8EF66AB8-2604-45EA-AAD2-E56E75428B2C}"/>
    <cellStyle name="40% - Accent3 2 4 3" xfId="4983" xr:uid="{00000000-0005-0000-0000-000042050000}"/>
    <cellStyle name="40% - Accent3 2 4 3 2" xfId="13433" xr:uid="{5F9E7B35-5A2F-4F56-A42E-553D772665A7}"/>
    <cellStyle name="40% - Accent3 2 4 4" xfId="9215" xr:uid="{BCC9F73D-BEA9-4B41-B3FF-9345CAC04464}"/>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24F7E8EE-C47B-47BF-B606-021CAF1D8F7E}"/>
    <cellStyle name="40% - Accent3 2 5 2 3" xfId="11773" xr:uid="{30936559-5D5D-4421-A23C-6B8B0C3B0786}"/>
    <cellStyle name="40% - Accent3 2 5 3" xfId="5396" xr:uid="{00000000-0005-0000-0000-000046050000}"/>
    <cellStyle name="40% - Accent3 2 5 3 2" xfId="13846" xr:uid="{E0F5E502-F1FA-4491-8505-667B059028CE}"/>
    <cellStyle name="40% - Accent3 2 5 4" xfId="9628" xr:uid="{CD86D346-4CDE-4E5B-A7D7-B9523F27B522}"/>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C4B4B916-E711-4636-9BF7-172AA09558C4}"/>
    <cellStyle name="40% - Accent3 2 6 2 3" xfId="12186" xr:uid="{CB917BEC-6F0C-4AE8-96C8-EC96E9FDF815}"/>
    <cellStyle name="40% - Accent3 2 6 3" xfId="5809" xr:uid="{00000000-0005-0000-0000-00004A050000}"/>
    <cellStyle name="40% - Accent3 2 6 3 2" xfId="14259" xr:uid="{8105012B-A6BC-4AF1-B1AC-90CE2D7A92ED}"/>
    <cellStyle name="40% - Accent3 2 6 4" xfId="10041" xr:uid="{71A13B2D-8CA7-4D92-88F1-95DF47CB52F5}"/>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36341847-D986-44A0-BEE4-8225EEE9DF7A}"/>
    <cellStyle name="40% - Accent3 2 7 2 3" xfId="12599" xr:uid="{6BDB3F89-BF07-4B08-B220-6BAF482D2CA8}"/>
    <cellStyle name="40% - Accent3 2 7 3" xfId="6222" xr:uid="{00000000-0005-0000-0000-00004E050000}"/>
    <cellStyle name="40% - Accent3 2 7 3 2" xfId="14672" xr:uid="{721DB5FC-6FC9-4AE5-95E0-F9FB50E13FE6}"/>
    <cellStyle name="40% - Accent3 2 7 4" xfId="10454" xr:uid="{C716A7CD-621A-416D-BB60-8402F73401F8}"/>
    <cellStyle name="40% - Accent3 2 8" xfId="2329" xr:uid="{00000000-0005-0000-0000-00004F050000}"/>
    <cellStyle name="40% - Accent3 2 8 2" xfId="6635" xr:uid="{00000000-0005-0000-0000-000050050000}"/>
    <cellStyle name="40% - Accent3 2 8 2 2" xfId="15085" xr:uid="{59A3CA64-5246-489E-96D8-59096307E0B9}"/>
    <cellStyle name="40% - Accent3 2 8 3" xfId="10867" xr:uid="{BB4427CA-0CA2-44F9-B3E1-19227268786B}"/>
    <cellStyle name="40% - Accent3 2 9" xfId="4569" xr:uid="{00000000-0005-0000-0000-000051050000}"/>
    <cellStyle name="40% - Accent3 2 9 2" xfId="13019" xr:uid="{1EFDDAB8-F698-4C79-A573-7EA11503DA3B}"/>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B545A849-A866-4CE5-9705-916C86D24A06}"/>
    <cellStyle name="40% - Accent3 3 2 2 2 3" xfId="11365" xr:uid="{89D78D37-D6BD-41CE-BC1D-33F674869E14}"/>
    <cellStyle name="40% - Accent3 3 2 2 3" xfId="4988" xr:uid="{00000000-0005-0000-0000-000057050000}"/>
    <cellStyle name="40% - Accent3 3 2 2 3 2" xfId="13438" xr:uid="{7BB0B6D7-8E80-47BC-9A35-E96187A524BB}"/>
    <cellStyle name="40% - Accent3 3 2 2 4" xfId="9220" xr:uid="{6B732212-7A86-4B96-9A4C-941B23B50C24}"/>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0C729101-2C96-4007-8395-B4259CBBB7EF}"/>
    <cellStyle name="40% - Accent3 3 2 3 2 3" xfId="11778" xr:uid="{BCA08D62-387B-437E-B108-50181FD88CE1}"/>
    <cellStyle name="40% - Accent3 3 2 3 3" xfId="5401" xr:uid="{00000000-0005-0000-0000-00005B050000}"/>
    <cellStyle name="40% - Accent3 3 2 3 3 2" xfId="13851" xr:uid="{A2C55168-8222-4199-A1E7-12845E814315}"/>
    <cellStyle name="40% - Accent3 3 2 3 4" xfId="9633" xr:uid="{37BBF265-9B8D-4A27-9FDC-5D21545A2138}"/>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28EDB3C8-6B5E-4CFA-8E10-7FE6D5D6036C}"/>
    <cellStyle name="40% - Accent3 3 2 4 2 3" xfId="12191" xr:uid="{D29476AC-3605-4011-AA22-B903754402A0}"/>
    <cellStyle name="40% - Accent3 3 2 4 3" xfId="5814" xr:uid="{00000000-0005-0000-0000-00005F050000}"/>
    <cellStyle name="40% - Accent3 3 2 4 3 2" xfId="14264" xr:uid="{5740FC46-328C-4A64-8745-E50C60CF3328}"/>
    <cellStyle name="40% - Accent3 3 2 4 4" xfId="10046" xr:uid="{C34E9D08-F443-45A5-A848-09A76455DE3A}"/>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D4235B03-FC71-4DBC-90A6-16F8F7001D84}"/>
    <cellStyle name="40% - Accent3 3 2 5 2 3" xfId="12604" xr:uid="{C61462FC-134A-4FCE-8B81-E2EF48997E2B}"/>
    <cellStyle name="40% - Accent3 3 2 5 3" xfId="6227" xr:uid="{00000000-0005-0000-0000-000063050000}"/>
    <cellStyle name="40% - Accent3 3 2 5 3 2" xfId="14677" xr:uid="{7BBB0B91-3C95-490E-8725-DB2905B82D8D}"/>
    <cellStyle name="40% - Accent3 3 2 5 4" xfId="10459" xr:uid="{C5053AEE-CEFB-4B26-9095-D6DDB5EAEFB6}"/>
    <cellStyle name="40% - Accent3 3 2 6" xfId="2334" xr:uid="{00000000-0005-0000-0000-000064050000}"/>
    <cellStyle name="40% - Accent3 3 2 6 2" xfId="6640" xr:uid="{00000000-0005-0000-0000-000065050000}"/>
    <cellStyle name="40% - Accent3 3 2 6 2 2" xfId="15090" xr:uid="{1743A328-C882-400D-8604-984E9C921190}"/>
    <cellStyle name="40% - Accent3 3 2 6 3" xfId="10872" xr:uid="{128E1806-469E-4F93-B908-21E81AAB0F56}"/>
    <cellStyle name="40% - Accent3 3 2 7" xfId="4574" xr:uid="{00000000-0005-0000-0000-000066050000}"/>
    <cellStyle name="40% - Accent3 3 2 7 2" xfId="13024" xr:uid="{E5DCB1C8-7401-4C99-B95D-553FC3A4675B}"/>
    <cellStyle name="40% - Accent3 3 2 8" xfId="8806" xr:uid="{3682D1A1-64E9-415A-897D-8E665D4E3871}"/>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263C723C-E9F3-4771-B9D4-4257D48286C6}"/>
    <cellStyle name="40% - Accent3 3 3 2 3" xfId="11364" xr:uid="{424E8286-BCC7-4EBA-B337-EB0ED5F91FF9}"/>
    <cellStyle name="40% - Accent3 3 3 3" xfId="4987" xr:uid="{00000000-0005-0000-0000-00006A050000}"/>
    <cellStyle name="40% - Accent3 3 3 3 2" xfId="13437" xr:uid="{E976CE6E-5083-4403-A3DC-339C24713971}"/>
    <cellStyle name="40% - Accent3 3 3 4" xfId="9219" xr:uid="{5134D44F-F28F-4A76-A88F-DA7F521BF766}"/>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E119FB7C-866F-47E7-B699-AB9F0C0A3A46}"/>
    <cellStyle name="40% - Accent3 3 4 2 3" xfId="11777" xr:uid="{2AA256D8-1F46-41FB-9423-605B3144966C}"/>
    <cellStyle name="40% - Accent3 3 4 3" xfId="5400" xr:uid="{00000000-0005-0000-0000-00006E050000}"/>
    <cellStyle name="40% - Accent3 3 4 3 2" xfId="13850" xr:uid="{539664BC-90B1-4E3E-BA8F-EDF76CC88C3E}"/>
    <cellStyle name="40% - Accent3 3 4 4" xfId="9632" xr:uid="{BB9447D9-D397-496C-8D89-F9B7BF517169}"/>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CE1C029B-98BB-4F12-872E-BA0B8FDA2046}"/>
    <cellStyle name="40% - Accent3 3 5 2 3" xfId="12190" xr:uid="{ABEF0D18-D01E-4DF2-81AD-9B72F6999DE4}"/>
    <cellStyle name="40% - Accent3 3 5 3" xfId="5813" xr:uid="{00000000-0005-0000-0000-000072050000}"/>
    <cellStyle name="40% - Accent3 3 5 3 2" xfId="14263" xr:uid="{71645E9B-9E85-4ABF-9588-AD0D2B1D7F03}"/>
    <cellStyle name="40% - Accent3 3 5 4" xfId="10045" xr:uid="{659838C5-AC1E-4DD0-939B-AB09214CF844}"/>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A37C4B67-8285-4994-BEE4-A71EF2F58C8F}"/>
    <cellStyle name="40% - Accent3 3 6 2 3" xfId="12603" xr:uid="{EF1F0478-1A99-49EF-B5B5-4B5F7A6FC044}"/>
    <cellStyle name="40% - Accent3 3 6 3" xfId="6226" xr:uid="{00000000-0005-0000-0000-000076050000}"/>
    <cellStyle name="40% - Accent3 3 6 3 2" xfId="14676" xr:uid="{0EFF9E58-2A5F-4566-80E2-32A3DA98BC08}"/>
    <cellStyle name="40% - Accent3 3 6 4" xfId="10458" xr:uid="{A5D00100-08CF-4459-AFC3-243C93CA9DD4}"/>
    <cellStyle name="40% - Accent3 3 7" xfId="2333" xr:uid="{00000000-0005-0000-0000-000077050000}"/>
    <cellStyle name="40% - Accent3 3 7 2" xfId="6639" xr:uid="{00000000-0005-0000-0000-000078050000}"/>
    <cellStyle name="40% - Accent3 3 7 2 2" xfId="15089" xr:uid="{5556C9CF-7F26-4057-B3D9-BD808D484A18}"/>
    <cellStyle name="40% - Accent3 3 7 3" xfId="10871" xr:uid="{C9D48C5F-3FB2-49DD-809F-4DFB9774A451}"/>
    <cellStyle name="40% - Accent3 3 8" xfId="4573" xr:uid="{00000000-0005-0000-0000-000079050000}"/>
    <cellStyle name="40% - Accent3 3 8 2" xfId="13023" xr:uid="{00A56A39-3E27-4377-B86E-360BA8E23DEF}"/>
    <cellStyle name="40% - Accent3 3 9" xfId="8805" xr:uid="{BC0630FA-53FD-45A9-978C-2B69E93C1E5A}"/>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584ADD1E-1F8C-4D33-8EB3-E8D43620A07C}"/>
    <cellStyle name="40% - Accent3 4 2 2 3" xfId="11366" xr:uid="{8545B3EA-A4EC-49AF-9BA7-05346F2CB824}"/>
    <cellStyle name="40% - Accent3 4 2 3" xfId="4989" xr:uid="{00000000-0005-0000-0000-00007E050000}"/>
    <cellStyle name="40% - Accent3 4 2 3 2" xfId="13439" xr:uid="{C410C103-33FB-48F7-A8FE-CFBE2C32D9A8}"/>
    <cellStyle name="40% - Accent3 4 2 4" xfId="9221" xr:uid="{B4FB428F-668F-4DE8-A327-6C25B2AFA2CA}"/>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441AED30-573E-4C9C-BD69-F5C00E1D0344}"/>
    <cellStyle name="40% - Accent3 4 3 2 3" xfId="11779" xr:uid="{65776825-945F-4A35-A861-37614FB05C87}"/>
    <cellStyle name="40% - Accent3 4 3 3" xfId="5402" xr:uid="{00000000-0005-0000-0000-000082050000}"/>
    <cellStyle name="40% - Accent3 4 3 3 2" xfId="13852" xr:uid="{C19745DD-6697-4D97-9330-370DC6FB6BF1}"/>
    <cellStyle name="40% - Accent3 4 3 4" xfId="9634" xr:uid="{E31FAF01-1362-4C74-A2A8-D9AAF0B18C0B}"/>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62E40763-48A7-40D3-9CB7-52E673C39338}"/>
    <cellStyle name="40% - Accent3 4 4 2 3" xfId="12192" xr:uid="{31BCEFE7-76DB-41D4-B2BD-D2730DB6B40C}"/>
    <cellStyle name="40% - Accent3 4 4 3" xfId="5815" xr:uid="{00000000-0005-0000-0000-000086050000}"/>
    <cellStyle name="40% - Accent3 4 4 3 2" xfId="14265" xr:uid="{0CCDBB8F-C4C1-4F5D-B6A4-7FFF500B015A}"/>
    <cellStyle name="40% - Accent3 4 4 4" xfId="10047" xr:uid="{057902ED-3FA8-4759-846F-9CEFE18DEEE0}"/>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F254F61F-7C86-4E30-B354-7455576B9644}"/>
    <cellStyle name="40% - Accent3 4 5 2 3" xfId="12605" xr:uid="{2FECD2E7-CAC6-411D-9DCE-35CAED26A632}"/>
    <cellStyle name="40% - Accent3 4 5 3" xfId="6228" xr:uid="{00000000-0005-0000-0000-00008A050000}"/>
    <cellStyle name="40% - Accent3 4 5 3 2" xfId="14678" xr:uid="{FE192346-5379-4D19-B090-3C1D565592D0}"/>
    <cellStyle name="40% - Accent3 4 5 4" xfId="10460" xr:uid="{C2EF2CE7-8653-42C1-9F3A-516754C80E38}"/>
    <cellStyle name="40% - Accent3 4 6" xfId="2335" xr:uid="{00000000-0005-0000-0000-00008B050000}"/>
    <cellStyle name="40% - Accent3 4 6 2" xfId="6641" xr:uid="{00000000-0005-0000-0000-00008C050000}"/>
    <cellStyle name="40% - Accent3 4 6 2 2" xfId="15091" xr:uid="{84671C72-DD8E-44C9-B45F-D00C646E57A0}"/>
    <cellStyle name="40% - Accent3 4 6 3" xfId="10873" xr:uid="{A4BCD273-02C2-4562-BE20-E5CAC21D8B34}"/>
    <cellStyle name="40% - Accent3 4 7" xfId="4575" xr:uid="{00000000-0005-0000-0000-00008D050000}"/>
    <cellStyle name="40% - Accent3 4 7 2" xfId="13025" xr:uid="{8DA74FB1-9606-43DA-89B8-371EF7887999}"/>
    <cellStyle name="40% - Accent3 4 8" xfId="8807" xr:uid="{45A53DF6-FED9-4DC2-9118-348905D9E8FB}"/>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2E64FCB2-93D5-403F-90CE-D8E0723BAEA5}"/>
    <cellStyle name="40% - Accent3 5 2 3" xfId="11359" xr:uid="{37F68CD9-8FEB-44F5-A6FF-130659DB5A9E}"/>
    <cellStyle name="40% - Accent3 5 3" xfId="4982" xr:uid="{00000000-0005-0000-0000-000091050000}"/>
    <cellStyle name="40% - Accent3 5 3 2" xfId="13432" xr:uid="{F3842E8C-7494-49FA-9FE2-5BF9D6277156}"/>
    <cellStyle name="40% - Accent3 5 4" xfId="9214" xr:uid="{FFE20407-CFE4-4CB2-9353-0B7652242765}"/>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BF3B44E1-45AF-4FA7-9579-FEE2E9C57FFF}"/>
    <cellStyle name="40% - Accent3 6 2 3" xfId="11772" xr:uid="{48060B9F-B0E2-416D-B634-9B10B70D6F97}"/>
    <cellStyle name="40% - Accent3 6 3" xfId="5395" xr:uid="{00000000-0005-0000-0000-000095050000}"/>
    <cellStyle name="40% - Accent3 6 3 2" xfId="13845" xr:uid="{27BD33A4-E86C-41CD-836B-E2DE6A3DC84C}"/>
    <cellStyle name="40% - Accent3 6 4" xfId="9627" xr:uid="{8E9EB359-024C-473B-9203-D1173DAF480B}"/>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FEE7E3CB-F2D7-4FEC-8B83-3F452C955E44}"/>
    <cellStyle name="40% - Accent3 7 2 3" xfId="12185" xr:uid="{3D66800E-4AB6-48BF-A705-7956D982B5B3}"/>
    <cellStyle name="40% - Accent3 7 3" xfId="5808" xr:uid="{00000000-0005-0000-0000-000099050000}"/>
    <cellStyle name="40% - Accent3 7 3 2" xfId="14258" xr:uid="{D0268534-B705-4A89-8DBA-3BB2155A1418}"/>
    <cellStyle name="40% - Accent3 7 4" xfId="10040" xr:uid="{1EA64BA1-E8A2-4FC6-8A56-7CC3EAE09037}"/>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C70429FD-B972-411F-BFD1-AA803957426D}"/>
    <cellStyle name="40% - Accent3 8 2 3" xfId="12598" xr:uid="{E05A4553-8A01-4AD9-B6F6-FC20CFBD485C}"/>
    <cellStyle name="40% - Accent3 8 3" xfId="6221" xr:uid="{00000000-0005-0000-0000-00009D050000}"/>
    <cellStyle name="40% - Accent3 8 3 2" xfId="14671" xr:uid="{B7CBE504-B422-4835-A1AA-E3660339A9C4}"/>
    <cellStyle name="40% - Accent3 8 4" xfId="10453" xr:uid="{CC0D392F-19CB-46B9-B94C-C34D164795D2}"/>
    <cellStyle name="40% - Accent3 9" xfId="2328" xr:uid="{00000000-0005-0000-0000-00009E050000}"/>
    <cellStyle name="40% - Accent3 9 2" xfId="6634" xr:uid="{00000000-0005-0000-0000-00009F050000}"/>
    <cellStyle name="40% - Accent3 9 2 2" xfId="15084" xr:uid="{87D4A0D9-E775-46D3-AD0D-6C0ACB27CE6E}"/>
    <cellStyle name="40% - Accent3 9 3" xfId="10866" xr:uid="{4A3CEE7C-A699-49C1-8237-12DA94A1E02B}"/>
    <cellStyle name="40% - Accent4" xfId="73" builtinId="43" customBuiltin="1"/>
    <cellStyle name="40% - Accent4 10" xfId="4576" xr:uid="{00000000-0005-0000-0000-0000A1050000}"/>
    <cellStyle name="40% - Accent4 10 2" xfId="13026" xr:uid="{C36E29F1-F3F1-4C13-9232-E20F1081EA59}"/>
    <cellStyle name="40% - Accent4 11" xfId="8808" xr:uid="{520817D1-AA90-4A4D-ACE5-94884959832F}"/>
    <cellStyle name="40% - Accent4 2" xfId="74" xr:uid="{00000000-0005-0000-0000-0000A2050000}"/>
    <cellStyle name="40% - Accent4 2 10" xfId="8809" xr:uid="{01B1FC56-3AD3-4465-B60F-098C8485B889}"/>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FF1744D1-6B69-42A5-B5E1-A42CF72DA8EF}"/>
    <cellStyle name="40% - Accent4 2 2 2 2 2 3" xfId="11370" xr:uid="{279EBACD-8DFA-4EB9-90A6-84B4EA7137C8}"/>
    <cellStyle name="40% - Accent4 2 2 2 2 3" xfId="4993" xr:uid="{00000000-0005-0000-0000-0000A8050000}"/>
    <cellStyle name="40% - Accent4 2 2 2 2 3 2" xfId="13443" xr:uid="{60095764-6364-46CB-926F-C9D722C0D60C}"/>
    <cellStyle name="40% - Accent4 2 2 2 2 4" xfId="9225" xr:uid="{E981B9C1-D572-44AF-962E-CB0CA4C7D8B3}"/>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DCA03494-C123-4391-8611-045A013A9F96}"/>
    <cellStyle name="40% - Accent4 2 2 2 3 2 3" xfId="11783" xr:uid="{FF669DDF-F337-4DE7-8AB4-091C1CA284C0}"/>
    <cellStyle name="40% - Accent4 2 2 2 3 3" xfId="5406" xr:uid="{00000000-0005-0000-0000-0000AC050000}"/>
    <cellStyle name="40% - Accent4 2 2 2 3 3 2" xfId="13856" xr:uid="{4BA08B63-1995-48A0-9FA4-2EF3D453ACAB}"/>
    <cellStyle name="40% - Accent4 2 2 2 3 4" xfId="9638" xr:uid="{DDE9F910-E6F3-4CC4-8427-F0DD558977FF}"/>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0B3FC433-A0C8-4804-8DB5-691188641109}"/>
    <cellStyle name="40% - Accent4 2 2 2 4 2 3" xfId="12196" xr:uid="{EF4BB3AA-351C-4F14-BF0B-74680367A8B0}"/>
    <cellStyle name="40% - Accent4 2 2 2 4 3" xfId="5819" xr:uid="{00000000-0005-0000-0000-0000B0050000}"/>
    <cellStyle name="40% - Accent4 2 2 2 4 3 2" xfId="14269" xr:uid="{CBD482E9-EA90-4564-9330-1D2817263537}"/>
    <cellStyle name="40% - Accent4 2 2 2 4 4" xfId="10051" xr:uid="{ADFD5E9F-6070-4FBE-8636-BFBC4702C3E5}"/>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D2E74357-1387-4544-9A35-E3995994BD83}"/>
    <cellStyle name="40% - Accent4 2 2 2 5 2 3" xfId="12609" xr:uid="{D30E7113-4979-4BB1-BF26-238664686509}"/>
    <cellStyle name="40% - Accent4 2 2 2 5 3" xfId="6232" xr:uid="{00000000-0005-0000-0000-0000B4050000}"/>
    <cellStyle name="40% - Accent4 2 2 2 5 3 2" xfId="14682" xr:uid="{BF0E1C15-93A2-4587-B270-121C932A8431}"/>
    <cellStyle name="40% - Accent4 2 2 2 5 4" xfId="10464" xr:uid="{131735FC-8BB6-478A-A70D-08186135E77A}"/>
    <cellStyle name="40% - Accent4 2 2 2 6" xfId="2339" xr:uid="{00000000-0005-0000-0000-0000B5050000}"/>
    <cellStyle name="40% - Accent4 2 2 2 6 2" xfId="6645" xr:uid="{00000000-0005-0000-0000-0000B6050000}"/>
    <cellStyle name="40% - Accent4 2 2 2 6 2 2" xfId="15095" xr:uid="{02BA636C-5CB5-4CA0-8189-16CA2AA2253D}"/>
    <cellStyle name="40% - Accent4 2 2 2 6 3" xfId="10877" xr:uid="{AB0558EE-8888-44A0-8395-A1B0187E8A78}"/>
    <cellStyle name="40% - Accent4 2 2 2 7" xfId="4579" xr:uid="{00000000-0005-0000-0000-0000B7050000}"/>
    <cellStyle name="40% - Accent4 2 2 2 7 2" xfId="13029" xr:uid="{F04F6B81-60E5-40B6-99BC-B80F7232C52B}"/>
    <cellStyle name="40% - Accent4 2 2 2 8" xfId="8811" xr:uid="{6B7346DF-DB36-4967-B744-1DCBA161B579}"/>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B94400E5-C2F3-4DB7-A0ED-B230D0A9F5A3}"/>
    <cellStyle name="40% - Accent4 2 2 3 2 3" xfId="11369" xr:uid="{95D92DE6-3E54-4F50-BCE2-97B74B02ECA7}"/>
    <cellStyle name="40% - Accent4 2 2 3 3" xfId="4992" xr:uid="{00000000-0005-0000-0000-0000BB050000}"/>
    <cellStyle name="40% - Accent4 2 2 3 3 2" xfId="13442" xr:uid="{CB5A37E1-872C-4FCB-9FF8-C99C2DD18F53}"/>
    <cellStyle name="40% - Accent4 2 2 3 4" xfId="9224" xr:uid="{48587676-255C-4556-9FF0-E44B3515BFC4}"/>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C310FF13-E18A-428F-8008-2326EAB88097}"/>
    <cellStyle name="40% - Accent4 2 2 4 2 3" xfId="11782" xr:uid="{227168EB-53D2-4CB2-BAC6-92EDCF3D3DEC}"/>
    <cellStyle name="40% - Accent4 2 2 4 3" xfId="5405" xr:uid="{00000000-0005-0000-0000-0000BF050000}"/>
    <cellStyle name="40% - Accent4 2 2 4 3 2" xfId="13855" xr:uid="{5BC70F15-DE07-4906-B48D-5D9BCE541657}"/>
    <cellStyle name="40% - Accent4 2 2 4 4" xfId="9637" xr:uid="{360D3053-A629-46F9-9F24-028AD30A16AB}"/>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94F133C5-C139-48DE-AD21-53457B03C2D2}"/>
    <cellStyle name="40% - Accent4 2 2 5 2 3" xfId="12195" xr:uid="{6CD775E1-2BA1-4538-89CF-6BCFA7E55EB3}"/>
    <cellStyle name="40% - Accent4 2 2 5 3" xfId="5818" xr:uid="{00000000-0005-0000-0000-0000C3050000}"/>
    <cellStyle name="40% - Accent4 2 2 5 3 2" xfId="14268" xr:uid="{09EE04F6-8695-409B-B659-8F3D4687F810}"/>
    <cellStyle name="40% - Accent4 2 2 5 4" xfId="10050" xr:uid="{57C6FF94-9BB5-4350-BE29-DCAAADC3B68A}"/>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77B2723D-6746-4A4E-ABE2-5F69D3854CB8}"/>
    <cellStyle name="40% - Accent4 2 2 6 2 3" xfId="12608" xr:uid="{68988167-3E35-4F9B-86FF-DFE9F8C0E20F}"/>
    <cellStyle name="40% - Accent4 2 2 6 3" xfId="6231" xr:uid="{00000000-0005-0000-0000-0000C7050000}"/>
    <cellStyle name="40% - Accent4 2 2 6 3 2" xfId="14681" xr:uid="{7FA22740-8F7A-4534-B953-1AD1DBA0C2C9}"/>
    <cellStyle name="40% - Accent4 2 2 6 4" xfId="10463" xr:uid="{A2F1747E-520A-451C-8EAE-EAC16D0064FA}"/>
    <cellStyle name="40% - Accent4 2 2 7" xfId="2338" xr:uid="{00000000-0005-0000-0000-0000C8050000}"/>
    <cellStyle name="40% - Accent4 2 2 7 2" xfId="6644" xr:uid="{00000000-0005-0000-0000-0000C9050000}"/>
    <cellStyle name="40% - Accent4 2 2 7 2 2" xfId="15094" xr:uid="{BC8E7405-B9F9-4342-8C46-D831B0D0DD23}"/>
    <cellStyle name="40% - Accent4 2 2 7 3" xfId="10876" xr:uid="{3259C08C-2D1E-4B83-A95B-66BF42D8AA90}"/>
    <cellStyle name="40% - Accent4 2 2 8" xfId="4578" xr:uid="{00000000-0005-0000-0000-0000CA050000}"/>
    <cellStyle name="40% - Accent4 2 2 8 2" xfId="13028" xr:uid="{203E7CBF-A762-4AC7-8585-67354FEFBB02}"/>
    <cellStyle name="40% - Accent4 2 2 9" xfId="8810" xr:uid="{469DCB1A-5DFC-44D2-B0D6-3A2C717A6206}"/>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BBF5DDC6-42BD-41BC-B149-C0BC537EB9B6}"/>
    <cellStyle name="40% - Accent4 2 3 2 2 3" xfId="11371" xr:uid="{0FB291E6-2B81-4F46-81EF-DA3A0EFFD0FD}"/>
    <cellStyle name="40% - Accent4 2 3 2 3" xfId="4994" xr:uid="{00000000-0005-0000-0000-0000CF050000}"/>
    <cellStyle name="40% - Accent4 2 3 2 3 2" xfId="13444" xr:uid="{ABF5C7DE-7112-484C-A330-E6EA280B8276}"/>
    <cellStyle name="40% - Accent4 2 3 2 4" xfId="9226" xr:uid="{6A45744F-53C7-4660-8444-90ACE9272265}"/>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E0166CFE-81A3-42AB-A408-126784EC96BB}"/>
    <cellStyle name="40% - Accent4 2 3 3 2 3" xfId="11784" xr:uid="{B3807B66-8394-43D8-A4DA-6E3113F85007}"/>
    <cellStyle name="40% - Accent4 2 3 3 3" xfId="5407" xr:uid="{00000000-0005-0000-0000-0000D3050000}"/>
    <cellStyle name="40% - Accent4 2 3 3 3 2" xfId="13857" xr:uid="{0C8743BE-43F1-42F6-8711-A360A52E8CE7}"/>
    <cellStyle name="40% - Accent4 2 3 3 4" xfId="9639" xr:uid="{1FE73D20-2ACA-4814-83F1-E9BDB0E12852}"/>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A088C103-CBCD-4166-A620-5B3B365CFB95}"/>
    <cellStyle name="40% - Accent4 2 3 4 2 3" xfId="12197" xr:uid="{A3B2B050-A782-4752-BFD2-300812F6D60B}"/>
    <cellStyle name="40% - Accent4 2 3 4 3" xfId="5820" xr:uid="{00000000-0005-0000-0000-0000D7050000}"/>
    <cellStyle name="40% - Accent4 2 3 4 3 2" xfId="14270" xr:uid="{D50E8F86-F83E-4278-9743-EDD7BD403D59}"/>
    <cellStyle name="40% - Accent4 2 3 4 4" xfId="10052" xr:uid="{09075DCE-CC6A-4158-A5D9-EEAB138072A1}"/>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F243E784-2DDA-46FB-BB25-260ABE9FE64A}"/>
    <cellStyle name="40% - Accent4 2 3 5 2 3" xfId="12610" xr:uid="{6E193623-7D9B-424B-A020-A8FA90B6483C}"/>
    <cellStyle name="40% - Accent4 2 3 5 3" xfId="6233" xr:uid="{00000000-0005-0000-0000-0000DB050000}"/>
    <cellStyle name="40% - Accent4 2 3 5 3 2" xfId="14683" xr:uid="{68EC3ABB-AE8B-42EE-8B7E-8586FE354629}"/>
    <cellStyle name="40% - Accent4 2 3 5 4" xfId="10465" xr:uid="{B122BCC8-BDF5-4020-B405-B275D0418932}"/>
    <cellStyle name="40% - Accent4 2 3 6" xfId="2340" xr:uid="{00000000-0005-0000-0000-0000DC050000}"/>
    <cellStyle name="40% - Accent4 2 3 6 2" xfId="6646" xr:uid="{00000000-0005-0000-0000-0000DD050000}"/>
    <cellStyle name="40% - Accent4 2 3 6 2 2" xfId="15096" xr:uid="{BFA07140-AB9E-4C86-B28B-B77DA61B48D3}"/>
    <cellStyle name="40% - Accent4 2 3 6 3" xfId="10878" xr:uid="{6363C484-6837-4BC7-9BA0-1800851E025C}"/>
    <cellStyle name="40% - Accent4 2 3 7" xfId="4580" xr:uid="{00000000-0005-0000-0000-0000DE050000}"/>
    <cellStyle name="40% - Accent4 2 3 7 2" xfId="13030" xr:uid="{F6E9DE87-F819-4B26-8BB9-E7E1077EE389}"/>
    <cellStyle name="40% - Accent4 2 3 8" xfId="8812" xr:uid="{3DBA539F-B0E5-4652-869D-960BF23F4DA6}"/>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3921A066-2C24-4EF0-86BF-B6202592B68B}"/>
    <cellStyle name="40% - Accent4 2 4 2 3" xfId="11368" xr:uid="{AEA5F313-FB64-430A-AE40-D4ADD2B40720}"/>
    <cellStyle name="40% - Accent4 2 4 3" xfId="4991" xr:uid="{00000000-0005-0000-0000-0000E2050000}"/>
    <cellStyle name="40% - Accent4 2 4 3 2" xfId="13441" xr:uid="{A6BA62B0-0899-46D2-A383-7A226041E580}"/>
    <cellStyle name="40% - Accent4 2 4 4" xfId="9223" xr:uid="{29919A68-4D9A-4BF1-A251-EDC53F0B814B}"/>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F06B8E47-8D80-4DC2-92A5-526DD3C0FA41}"/>
    <cellStyle name="40% - Accent4 2 5 2 3" xfId="11781" xr:uid="{5982183F-40CA-4FEF-8558-FF0A8C3D6C9E}"/>
    <cellStyle name="40% - Accent4 2 5 3" xfId="5404" xr:uid="{00000000-0005-0000-0000-0000E6050000}"/>
    <cellStyle name="40% - Accent4 2 5 3 2" xfId="13854" xr:uid="{537B80C9-88CD-4050-BF46-427C92018FF1}"/>
    <cellStyle name="40% - Accent4 2 5 4" xfId="9636" xr:uid="{DEE5115E-89FE-4384-ADF2-80375518784F}"/>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6F9A4A59-F7BD-4FA0-99A5-45808CB46847}"/>
    <cellStyle name="40% - Accent4 2 6 2 3" xfId="12194" xr:uid="{5F1D4CFC-F21C-49FA-8E34-7DD7FFE8BCFF}"/>
    <cellStyle name="40% - Accent4 2 6 3" xfId="5817" xr:uid="{00000000-0005-0000-0000-0000EA050000}"/>
    <cellStyle name="40% - Accent4 2 6 3 2" xfId="14267" xr:uid="{8152E661-9267-485D-A7CE-DFED1F56478D}"/>
    <cellStyle name="40% - Accent4 2 6 4" xfId="10049" xr:uid="{F4138F3F-F799-4317-B7AB-997B111B7765}"/>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AD31AEA9-4C3E-4B13-80C0-C010C7F33697}"/>
    <cellStyle name="40% - Accent4 2 7 2 3" xfId="12607" xr:uid="{F177F54A-D9C7-4172-BFAD-33E6C24EFDC6}"/>
    <cellStyle name="40% - Accent4 2 7 3" xfId="6230" xr:uid="{00000000-0005-0000-0000-0000EE050000}"/>
    <cellStyle name="40% - Accent4 2 7 3 2" xfId="14680" xr:uid="{0995E8B0-A172-4CD1-BA7F-7B85EE4DDEDC}"/>
    <cellStyle name="40% - Accent4 2 7 4" xfId="10462" xr:uid="{03FDA17D-F62A-4015-AE4C-C02C4B7F43C1}"/>
    <cellStyle name="40% - Accent4 2 8" xfId="2337" xr:uid="{00000000-0005-0000-0000-0000EF050000}"/>
    <cellStyle name="40% - Accent4 2 8 2" xfId="6643" xr:uid="{00000000-0005-0000-0000-0000F0050000}"/>
    <cellStyle name="40% - Accent4 2 8 2 2" xfId="15093" xr:uid="{0F811503-DB16-4B44-82E0-9C5A45A5B6CD}"/>
    <cellStyle name="40% - Accent4 2 8 3" xfId="10875" xr:uid="{17AD2F0B-06BC-45D7-BE3D-D8A96521603A}"/>
    <cellStyle name="40% - Accent4 2 9" xfId="4577" xr:uid="{00000000-0005-0000-0000-0000F1050000}"/>
    <cellStyle name="40% - Accent4 2 9 2" xfId="13027" xr:uid="{000F0D8E-BC9E-4868-828F-054062DDE99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FDD2A716-D27C-4352-B0B9-AA244D02BDC0}"/>
    <cellStyle name="40% - Accent4 3 2 2 2 3" xfId="11373" xr:uid="{0EFAEC86-AEB4-4598-9B32-16870514066E}"/>
    <cellStyle name="40% - Accent4 3 2 2 3" xfId="4996" xr:uid="{00000000-0005-0000-0000-0000F7050000}"/>
    <cellStyle name="40% - Accent4 3 2 2 3 2" xfId="13446" xr:uid="{75331940-717C-48B0-BD92-96B3EF55CCE2}"/>
    <cellStyle name="40% - Accent4 3 2 2 4" xfId="9228" xr:uid="{F62D5EDC-9040-4C1C-AB05-7BD808774CB6}"/>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F1D5706B-BC19-4B62-ACEA-7BB922DB6BA8}"/>
    <cellStyle name="40% - Accent4 3 2 3 2 3" xfId="11786" xr:uid="{0A5FE21C-BC01-408D-AFD3-0952AD120A18}"/>
    <cellStyle name="40% - Accent4 3 2 3 3" xfId="5409" xr:uid="{00000000-0005-0000-0000-0000FB050000}"/>
    <cellStyle name="40% - Accent4 3 2 3 3 2" xfId="13859" xr:uid="{E33DBBA6-C47F-48D4-9A50-63B6C6936E0E}"/>
    <cellStyle name="40% - Accent4 3 2 3 4" xfId="9641" xr:uid="{3A58ECA4-3D89-490B-8C9A-C5831741B7EF}"/>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A16EFF1B-EEA8-47A0-B1B8-A7C4B5FB1AC7}"/>
    <cellStyle name="40% - Accent4 3 2 4 2 3" xfId="12199" xr:uid="{2F552667-E481-4395-85C4-79E7954BCC0C}"/>
    <cellStyle name="40% - Accent4 3 2 4 3" xfId="5822" xr:uid="{00000000-0005-0000-0000-0000FF050000}"/>
    <cellStyle name="40% - Accent4 3 2 4 3 2" xfId="14272" xr:uid="{F3D0795F-DD34-49E3-86D1-40A228B5A489}"/>
    <cellStyle name="40% - Accent4 3 2 4 4" xfId="10054" xr:uid="{2172EC68-CD5D-4CAA-BAC8-03AEB4CD055E}"/>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A2B8AA02-E029-40CD-BA43-81D44622ABF4}"/>
    <cellStyle name="40% - Accent4 3 2 5 2 3" xfId="12612" xr:uid="{A8CEA491-10C5-40D5-9FAC-4BC7186280CA}"/>
    <cellStyle name="40% - Accent4 3 2 5 3" xfId="6235" xr:uid="{00000000-0005-0000-0000-000003060000}"/>
    <cellStyle name="40% - Accent4 3 2 5 3 2" xfId="14685" xr:uid="{45D69855-4141-4D8C-997B-12C8C509D0D0}"/>
    <cellStyle name="40% - Accent4 3 2 5 4" xfId="10467" xr:uid="{38474784-98F9-478C-A0B0-6467024F939D}"/>
    <cellStyle name="40% - Accent4 3 2 6" xfId="2342" xr:uid="{00000000-0005-0000-0000-000004060000}"/>
    <cellStyle name="40% - Accent4 3 2 6 2" xfId="6648" xr:uid="{00000000-0005-0000-0000-000005060000}"/>
    <cellStyle name="40% - Accent4 3 2 6 2 2" xfId="15098" xr:uid="{6BBE53D9-02F2-4AEA-8A34-982F004E6331}"/>
    <cellStyle name="40% - Accent4 3 2 6 3" xfId="10880" xr:uid="{33754B6B-86A3-4845-82EB-B6758A2D5502}"/>
    <cellStyle name="40% - Accent4 3 2 7" xfId="4582" xr:uid="{00000000-0005-0000-0000-000006060000}"/>
    <cellStyle name="40% - Accent4 3 2 7 2" xfId="13032" xr:uid="{7760F8BF-32BD-455F-9C44-EE3D3C1F6A02}"/>
    <cellStyle name="40% - Accent4 3 2 8" xfId="8814" xr:uid="{F6F0F659-4AFB-42E6-9FEC-01C6FF5BCFD3}"/>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119BE48A-6BC1-4BC4-A5CD-92A6E4DBBE19}"/>
    <cellStyle name="40% - Accent4 3 3 2 3" xfId="11372" xr:uid="{45DD52C8-D186-4FA5-8124-16473D1FB192}"/>
    <cellStyle name="40% - Accent4 3 3 3" xfId="4995" xr:uid="{00000000-0005-0000-0000-00000A060000}"/>
    <cellStyle name="40% - Accent4 3 3 3 2" xfId="13445" xr:uid="{D876B190-27E2-46D4-8362-0F22507E5393}"/>
    <cellStyle name="40% - Accent4 3 3 4" xfId="9227" xr:uid="{79189C6D-308E-4B70-994E-296BCA652DB4}"/>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70FEB3A9-CA72-4C9F-8883-29E33BCBE7E6}"/>
    <cellStyle name="40% - Accent4 3 4 2 3" xfId="11785" xr:uid="{9331077C-9726-4ACD-857B-BB599F8BC2CC}"/>
    <cellStyle name="40% - Accent4 3 4 3" xfId="5408" xr:uid="{00000000-0005-0000-0000-00000E060000}"/>
    <cellStyle name="40% - Accent4 3 4 3 2" xfId="13858" xr:uid="{3FA799C5-429D-4D02-B1E1-FED8B3866704}"/>
    <cellStyle name="40% - Accent4 3 4 4" xfId="9640" xr:uid="{F5C9D398-4B6F-461C-962B-5D41C565B328}"/>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B56E957F-3C92-498F-B291-411B15A051B4}"/>
    <cellStyle name="40% - Accent4 3 5 2 3" xfId="12198" xr:uid="{D4D82076-0A3C-494F-B673-26B0ECFFE7E5}"/>
    <cellStyle name="40% - Accent4 3 5 3" xfId="5821" xr:uid="{00000000-0005-0000-0000-000012060000}"/>
    <cellStyle name="40% - Accent4 3 5 3 2" xfId="14271" xr:uid="{4E3700EC-5C55-4576-970F-0B50CD7C446F}"/>
    <cellStyle name="40% - Accent4 3 5 4" xfId="10053" xr:uid="{9D8AE898-7080-4C5D-8EB2-D88D44CF772F}"/>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75E29ABA-B8E0-4592-9FC4-D689F07BAF51}"/>
    <cellStyle name="40% - Accent4 3 6 2 3" xfId="12611" xr:uid="{F395B1FB-5A17-47E0-ACEB-11AD879F20FA}"/>
    <cellStyle name="40% - Accent4 3 6 3" xfId="6234" xr:uid="{00000000-0005-0000-0000-000016060000}"/>
    <cellStyle name="40% - Accent4 3 6 3 2" xfId="14684" xr:uid="{A2D54737-79FF-47BF-8034-B3650BFC761D}"/>
    <cellStyle name="40% - Accent4 3 6 4" xfId="10466" xr:uid="{9E664A3F-C308-482B-A3C3-4F170A7C54E3}"/>
    <cellStyle name="40% - Accent4 3 7" xfId="2341" xr:uid="{00000000-0005-0000-0000-000017060000}"/>
    <cellStyle name="40% - Accent4 3 7 2" xfId="6647" xr:uid="{00000000-0005-0000-0000-000018060000}"/>
    <cellStyle name="40% - Accent4 3 7 2 2" xfId="15097" xr:uid="{F2C7DBA9-F209-47DF-8E43-6FFFA1F38B8E}"/>
    <cellStyle name="40% - Accent4 3 7 3" xfId="10879" xr:uid="{0D873724-0897-4320-B116-A59073434EF6}"/>
    <cellStyle name="40% - Accent4 3 8" xfId="4581" xr:uid="{00000000-0005-0000-0000-000019060000}"/>
    <cellStyle name="40% - Accent4 3 8 2" xfId="13031" xr:uid="{91B84632-C997-4B73-8BDF-A2B03019A353}"/>
    <cellStyle name="40% - Accent4 3 9" xfId="8813" xr:uid="{12DDB467-E93D-461E-91ED-5668683A6004}"/>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BD1E668B-2D74-4614-9E80-1F6AF485BE9A}"/>
    <cellStyle name="40% - Accent4 4 2 2 3" xfId="11374" xr:uid="{AEDDC797-7A31-4519-B1B5-AFD59A213506}"/>
    <cellStyle name="40% - Accent4 4 2 3" xfId="4997" xr:uid="{00000000-0005-0000-0000-00001E060000}"/>
    <cellStyle name="40% - Accent4 4 2 3 2" xfId="13447" xr:uid="{740A038E-ABEB-49C5-9CEA-7316A583EC31}"/>
    <cellStyle name="40% - Accent4 4 2 4" xfId="9229" xr:uid="{A2A3F08E-6F7B-420D-8F38-98663108EE65}"/>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C410A1DA-32AE-450B-B6D4-F5A00B730894}"/>
    <cellStyle name="40% - Accent4 4 3 2 3" xfId="11787" xr:uid="{92B52569-8BFB-48B5-BCB4-85EE4B723B5D}"/>
    <cellStyle name="40% - Accent4 4 3 3" xfId="5410" xr:uid="{00000000-0005-0000-0000-000022060000}"/>
    <cellStyle name="40% - Accent4 4 3 3 2" xfId="13860" xr:uid="{ED54264C-55E2-4CBF-97F8-0AFA7E234F0F}"/>
    <cellStyle name="40% - Accent4 4 3 4" xfId="9642" xr:uid="{FB83E538-3143-44A0-9642-3E5E6B57486D}"/>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3E5C03E5-9E82-4FDF-97CD-0D4E01A09D07}"/>
    <cellStyle name="40% - Accent4 4 4 2 3" xfId="12200" xr:uid="{CCED3F36-726E-4726-88C0-08727442B76E}"/>
    <cellStyle name="40% - Accent4 4 4 3" xfId="5823" xr:uid="{00000000-0005-0000-0000-000026060000}"/>
    <cellStyle name="40% - Accent4 4 4 3 2" xfId="14273" xr:uid="{906FE8DA-52DB-4370-8463-3CE7AB43A51A}"/>
    <cellStyle name="40% - Accent4 4 4 4" xfId="10055" xr:uid="{470B06FB-AABF-4C4A-AFCD-964A22452702}"/>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86DB0FB9-3417-4F27-A712-AE73499D4238}"/>
    <cellStyle name="40% - Accent4 4 5 2 3" xfId="12613" xr:uid="{4291F6AB-5154-4FA3-8960-3A94C5BFC3DF}"/>
    <cellStyle name="40% - Accent4 4 5 3" xfId="6236" xr:uid="{00000000-0005-0000-0000-00002A060000}"/>
    <cellStyle name="40% - Accent4 4 5 3 2" xfId="14686" xr:uid="{46F15A7F-6067-4BCF-B5D7-07A1A8E2147A}"/>
    <cellStyle name="40% - Accent4 4 5 4" xfId="10468" xr:uid="{9AA5DFA2-87CB-437D-AB75-F5CEF0AED65F}"/>
    <cellStyle name="40% - Accent4 4 6" xfId="2343" xr:uid="{00000000-0005-0000-0000-00002B060000}"/>
    <cellStyle name="40% - Accent4 4 6 2" xfId="6649" xr:uid="{00000000-0005-0000-0000-00002C060000}"/>
    <cellStyle name="40% - Accent4 4 6 2 2" xfId="15099" xr:uid="{A61E69BF-CF91-410E-BE73-A4252B54E4C2}"/>
    <cellStyle name="40% - Accent4 4 6 3" xfId="10881" xr:uid="{F022DE15-DEF8-4530-BBE1-BD85BF2899AE}"/>
    <cellStyle name="40% - Accent4 4 7" xfId="4583" xr:uid="{00000000-0005-0000-0000-00002D060000}"/>
    <cellStyle name="40% - Accent4 4 7 2" xfId="13033" xr:uid="{E4F5E6B8-8E61-4F79-A98B-5563BFD95AEC}"/>
    <cellStyle name="40% - Accent4 4 8" xfId="8815" xr:uid="{84795158-12BD-4DF1-84D8-C261E467AA8C}"/>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F3F32248-1BE9-4925-87E6-AD7E7D45554D}"/>
    <cellStyle name="40% - Accent4 5 2 3" xfId="11367" xr:uid="{286386B2-2B67-41A5-A274-C39852FFFCC6}"/>
    <cellStyle name="40% - Accent4 5 3" xfId="4990" xr:uid="{00000000-0005-0000-0000-000031060000}"/>
    <cellStyle name="40% - Accent4 5 3 2" xfId="13440" xr:uid="{9D6CB3A1-9ED1-4DB9-989E-02C9F0EAB882}"/>
    <cellStyle name="40% - Accent4 5 4" xfId="9222" xr:uid="{D32E0145-E50F-487A-86CA-4E39BBCA18EB}"/>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54B4C28C-3AAF-4BE1-89DE-C767B490E704}"/>
    <cellStyle name="40% - Accent4 6 2 3" xfId="11780" xr:uid="{78E9B6CF-D2A0-4E02-BABF-FDDD200122FC}"/>
    <cellStyle name="40% - Accent4 6 3" xfId="5403" xr:uid="{00000000-0005-0000-0000-000035060000}"/>
    <cellStyle name="40% - Accent4 6 3 2" xfId="13853" xr:uid="{402B0658-B748-4C9E-80D2-E70B7C83B653}"/>
    <cellStyle name="40% - Accent4 6 4" xfId="9635" xr:uid="{F08FF438-F791-4BFC-80C0-75E0E0731E55}"/>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13CA37C8-9D18-45CF-905A-0F2BC3FC0525}"/>
    <cellStyle name="40% - Accent4 7 2 3" xfId="12193" xr:uid="{8FD2B978-E3D4-422A-889D-220F7F71DA00}"/>
    <cellStyle name="40% - Accent4 7 3" xfId="5816" xr:uid="{00000000-0005-0000-0000-000039060000}"/>
    <cellStyle name="40% - Accent4 7 3 2" xfId="14266" xr:uid="{8F925F77-CFC9-4114-A11A-7BF24A8A67EE}"/>
    <cellStyle name="40% - Accent4 7 4" xfId="10048" xr:uid="{0F649FD6-1767-4465-BF37-8CE4B0E26B4F}"/>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3D2E1711-D549-4168-9CDC-3EFBE5AABFA5}"/>
    <cellStyle name="40% - Accent4 8 2 3" xfId="12606" xr:uid="{6D0F7808-607C-4868-885D-02E18190508E}"/>
    <cellStyle name="40% - Accent4 8 3" xfId="6229" xr:uid="{00000000-0005-0000-0000-00003D060000}"/>
    <cellStyle name="40% - Accent4 8 3 2" xfId="14679" xr:uid="{108213C6-115C-4BAA-87B5-63D42F50F182}"/>
    <cellStyle name="40% - Accent4 8 4" xfId="10461" xr:uid="{283D067A-D18B-4862-B975-7C1E7DBC7D8D}"/>
    <cellStyle name="40% - Accent4 9" xfId="2336" xr:uid="{00000000-0005-0000-0000-00003E060000}"/>
    <cellStyle name="40% - Accent4 9 2" xfId="6642" xr:uid="{00000000-0005-0000-0000-00003F060000}"/>
    <cellStyle name="40% - Accent4 9 2 2" xfId="15092" xr:uid="{0074C6D4-C65F-41C8-94F2-CFBF35BF82A9}"/>
    <cellStyle name="40% - Accent4 9 3" xfId="10874" xr:uid="{3580EBB0-A992-4637-BDB7-6D26FC05EF6D}"/>
    <cellStyle name="40% - Accent5" xfId="81" builtinId="47" customBuiltin="1"/>
    <cellStyle name="40% - Accent5 10" xfId="4584" xr:uid="{00000000-0005-0000-0000-000041060000}"/>
    <cellStyle name="40% - Accent5 10 2" xfId="13034" xr:uid="{A788F1BF-FA14-4594-B7B4-4A3C18B7CC4A}"/>
    <cellStyle name="40% - Accent5 11" xfId="8816" xr:uid="{9762DE73-B967-4382-89F5-3EE34162E38C}"/>
    <cellStyle name="40% - Accent5 2" xfId="82" xr:uid="{00000000-0005-0000-0000-000042060000}"/>
    <cellStyle name="40% - Accent5 2 10" xfId="8817" xr:uid="{AE22A7DB-3591-4059-AA0D-378CD72BDADC}"/>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3B75FCB7-12DE-43C9-816B-1E1AA4571D8A}"/>
    <cellStyle name="40% - Accent5 2 2 2 2 2 3" xfId="11378" xr:uid="{124B25CA-D7A4-4268-9CC5-1B874BD18A6D}"/>
    <cellStyle name="40% - Accent5 2 2 2 2 3" xfId="5001" xr:uid="{00000000-0005-0000-0000-000048060000}"/>
    <cellStyle name="40% - Accent5 2 2 2 2 3 2" xfId="13451" xr:uid="{7DC84DB9-F5AC-4F62-9699-2C4CD7D18B42}"/>
    <cellStyle name="40% - Accent5 2 2 2 2 4" xfId="9233" xr:uid="{86D98429-3DC4-4DFD-978B-11B8D93735CE}"/>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6FC63A40-6EA0-432E-9DF3-09D816F28598}"/>
    <cellStyle name="40% - Accent5 2 2 2 3 2 3" xfId="11791" xr:uid="{A2061FAA-0C2E-440B-A315-5E3BF3BA582C}"/>
    <cellStyle name="40% - Accent5 2 2 2 3 3" xfId="5414" xr:uid="{00000000-0005-0000-0000-00004C060000}"/>
    <cellStyle name="40% - Accent5 2 2 2 3 3 2" xfId="13864" xr:uid="{692EEB3F-0B16-4761-89AF-F88FE1DDCAA7}"/>
    <cellStyle name="40% - Accent5 2 2 2 3 4" xfId="9646" xr:uid="{214AA386-6659-4E91-9F7A-DFC9F168B25E}"/>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736274F8-5D41-4EDE-8CDD-6E2871512BDC}"/>
    <cellStyle name="40% - Accent5 2 2 2 4 2 3" xfId="12204" xr:uid="{B169B961-C5FD-4198-B24D-88C7104A9C31}"/>
    <cellStyle name="40% - Accent5 2 2 2 4 3" xfId="5827" xr:uid="{00000000-0005-0000-0000-000050060000}"/>
    <cellStyle name="40% - Accent5 2 2 2 4 3 2" xfId="14277" xr:uid="{7FE29D6C-2C05-415A-B9CC-A36EDA591C8B}"/>
    <cellStyle name="40% - Accent5 2 2 2 4 4" xfId="10059" xr:uid="{B5C3FE70-9B4A-40F4-8A3B-5BA0989C52C9}"/>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107AA659-FFEC-430D-9AD8-54BE4ABA0D52}"/>
    <cellStyle name="40% - Accent5 2 2 2 5 2 3" xfId="12617" xr:uid="{49D66C7D-96E9-4C8C-B0D9-0559C5296575}"/>
    <cellStyle name="40% - Accent5 2 2 2 5 3" xfId="6240" xr:uid="{00000000-0005-0000-0000-000054060000}"/>
    <cellStyle name="40% - Accent5 2 2 2 5 3 2" xfId="14690" xr:uid="{B148478E-F48B-452B-9129-CF5F5ED13D09}"/>
    <cellStyle name="40% - Accent5 2 2 2 5 4" xfId="10472" xr:uid="{639CEE00-B177-45D4-B1AD-741825EC20AF}"/>
    <cellStyle name="40% - Accent5 2 2 2 6" xfId="2347" xr:uid="{00000000-0005-0000-0000-000055060000}"/>
    <cellStyle name="40% - Accent5 2 2 2 6 2" xfId="6653" xr:uid="{00000000-0005-0000-0000-000056060000}"/>
    <cellStyle name="40% - Accent5 2 2 2 6 2 2" xfId="15103" xr:uid="{A694FD5C-6C06-4429-8ED8-0AAB112D85C4}"/>
    <cellStyle name="40% - Accent5 2 2 2 6 3" xfId="10885" xr:uid="{6B78F518-243E-467E-9E7F-F6137707334C}"/>
    <cellStyle name="40% - Accent5 2 2 2 7" xfId="4587" xr:uid="{00000000-0005-0000-0000-000057060000}"/>
    <cellStyle name="40% - Accent5 2 2 2 7 2" xfId="13037" xr:uid="{016A8C0D-8D96-4E15-A1FC-09DD8E068F9F}"/>
    <cellStyle name="40% - Accent5 2 2 2 8" xfId="8819" xr:uid="{84D401B2-A1D6-4322-AF16-1AB5D18CC0DF}"/>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8F7B46BC-B950-4148-9E03-7A239CB7B6D6}"/>
    <cellStyle name="40% - Accent5 2 2 3 2 3" xfId="11377" xr:uid="{F42EC1FD-0E37-4E97-BF98-0FA31DAB1A60}"/>
    <cellStyle name="40% - Accent5 2 2 3 3" xfId="5000" xr:uid="{00000000-0005-0000-0000-00005B060000}"/>
    <cellStyle name="40% - Accent5 2 2 3 3 2" xfId="13450" xr:uid="{395C56C2-935A-41EC-8F93-064AEA0E82F7}"/>
    <cellStyle name="40% - Accent5 2 2 3 4" xfId="9232" xr:uid="{755B56B1-32E7-44D5-9E57-28A7B586AC06}"/>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970AA6BA-B4F9-490C-BB32-02AE78902398}"/>
    <cellStyle name="40% - Accent5 2 2 4 2 3" xfId="11790" xr:uid="{C55840FA-26CC-458C-AAE8-172768293FE1}"/>
    <cellStyle name="40% - Accent5 2 2 4 3" xfId="5413" xr:uid="{00000000-0005-0000-0000-00005F060000}"/>
    <cellStyle name="40% - Accent5 2 2 4 3 2" xfId="13863" xr:uid="{0E1F9A24-42BC-4D12-BB21-94329F4C573B}"/>
    <cellStyle name="40% - Accent5 2 2 4 4" xfId="9645" xr:uid="{EE822FB3-5C36-48E5-8D48-4BC60FF9221B}"/>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26A1F20D-188A-4EA4-951A-500C46E5B194}"/>
    <cellStyle name="40% - Accent5 2 2 5 2 3" xfId="12203" xr:uid="{739315EA-D566-456A-B401-80B0052FD1A3}"/>
    <cellStyle name="40% - Accent5 2 2 5 3" xfId="5826" xr:uid="{00000000-0005-0000-0000-000063060000}"/>
    <cellStyle name="40% - Accent5 2 2 5 3 2" xfId="14276" xr:uid="{31056518-C300-4524-8589-1560984EC0C6}"/>
    <cellStyle name="40% - Accent5 2 2 5 4" xfId="10058" xr:uid="{F4C90760-77CA-4058-8026-F66C20A870BD}"/>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338635C6-A6E1-4826-8487-37452D252546}"/>
    <cellStyle name="40% - Accent5 2 2 6 2 3" xfId="12616" xr:uid="{D05A4EB6-AF6A-427C-8F66-CDFBBF8C8940}"/>
    <cellStyle name="40% - Accent5 2 2 6 3" xfId="6239" xr:uid="{00000000-0005-0000-0000-000067060000}"/>
    <cellStyle name="40% - Accent5 2 2 6 3 2" xfId="14689" xr:uid="{36E6ED4C-2EE3-4D4F-9FCE-F59D393678D9}"/>
    <cellStyle name="40% - Accent5 2 2 6 4" xfId="10471" xr:uid="{10F5720F-FF8C-40FB-A84E-3AEC841DD3C9}"/>
    <cellStyle name="40% - Accent5 2 2 7" xfId="2346" xr:uid="{00000000-0005-0000-0000-000068060000}"/>
    <cellStyle name="40% - Accent5 2 2 7 2" xfId="6652" xr:uid="{00000000-0005-0000-0000-000069060000}"/>
    <cellStyle name="40% - Accent5 2 2 7 2 2" xfId="15102" xr:uid="{6BCBEB6F-8CAE-47A9-A93E-C7198B2EEF85}"/>
    <cellStyle name="40% - Accent5 2 2 7 3" xfId="10884" xr:uid="{BE9551C5-F5E6-4623-9116-A7F56E9E98CA}"/>
    <cellStyle name="40% - Accent5 2 2 8" xfId="4586" xr:uid="{00000000-0005-0000-0000-00006A060000}"/>
    <cellStyle name="40% - Accent5 2 2 8 2" xfId="13036" xr:uid="{2207112F-BCB3-49A0-9F3F-DC6DE6B1A13A}"/>
    <cellStyle name="40% - Accent5 2 2 9" xfId="8818" xr:uid="{7B26B12C-15A4-4E98-9FFB-8B6A807D028F}"/>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20943CC5-9C1A-4BE0-A5F0-57490D6160D9}"/>
    <cellStyle name="40% - Accent5 2 3 2 2 3" xfId="11379" xr:uid="{9D820AB8-C7C3-445C-B27F-8D951993122F}"/>
    <cellStyle name="40% - Accent5 2 3 2 3" xfId="5002" xr:uid="{00000000-0005-0000-0000-00006F060000}"/>
    <cellStyle name="40% - Accent5 2 3 2 3 2" xfId="13452" xr:uid="{D9AB7F1B-4345-4931-AA07-22A4BDF9AD75}"/>
    <cellStyle name="40% - Accent5 2 3 2 4" xfId="9234" xr:uid="{77E55D61-4277-46CA-AC23-6BE773A49308}"/>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8C26542D-8177-4A7E-B456-1601B0552EAD}"/>
    <cellStyle name="40% - Accent5 2 3 3 2 3" xfId="11792" xr:uid="{763CAABE-6628-4484-80CB-4F68D84CFE7C}"/>
    <cellStyle name="40% - Accent5 2 3 3 3" xfId="5415" xr:uid="{00000000-0005-0000-0000-000073060000}"/>
    <cellStyle name="40% - Accent5 2 3 3 3 2" xfId="13865" xr:uid="{44493402-CA7A-41C5-B3A3-412D10D81341}"/>
    <cellStyle name="40% - Accent5 2 3 3 4" xfId="9647" xr:uid="{3D1215CE-6BCE-4371-AC53-8C1E696EBB08}"/>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A73F28AB-1704-4FE8-BF15-C936F6D6C631}"/>
    <cellStyle name="40% - Accent5 2 3 4 2 3" xfId="12205" xr:uid="{2C143DF1-0023-4749-BD93-3B6BC49E4D62}"/>
    <cellStyle name="40% - Accent5 2 3 4 3" xfId="5828" xr:uid="{00000000-0005-0000-0000-000077060000}"/>
    <cellStyle name="40% - Accent5 2 3 4 3 2" xfId="14278" xr:uid="{49A09DA9-F04F-4FC2-B426-3666B5A969C5}"/>
    <cellStyle name="40% - Accent5 2 3 4 4" xfId="10060" xr:uid="{7BE3FC05-ACB4-4F50-A7C6-22671DA85917}"/>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072A2079-70F5-42AF-83D8-E68DC1C68EDA}"/>
    <cellStyle name="40% - Accent5 2 3 5 2 3" xfId="12618" xr:uid="{6B2E1A58-418D-483A-89DE-10EE5C5164BE}"/>
    <cellStyle name="40% - Accent5 2 3 5 3" xfId="6241" xr:uid="{00000000-0005-0000-0000-00007B060000}"/>
    <cellStyle name="40% - Accent5 2 3 5 3 2" xfId="14691" xr:uid="{A8E10032-3D47-4F90-9197-C017F7938794}"/>
    <cellStyle name="40% - Accent5 2 3 5 4" xfId="10473" xr:uid="{7DEC4200-600A-4E10-BC32-755574A6E349}"/>
    <cellStyle name="40% - Accent5 2 3 6" xfId="2348" xr:uid="{00000000-0005-0000-0000-00007C060000}"/>
    <cellStyle name="40% - Accent5 2 3 6 2" xfId="6654" xr:uid="{00000000-0005-0000-0000-00007D060000}"/>
    <cellStyle name="40% - Accent5 2 3 6 2 2" xfId="15104" xr:uid="{D38A3067-8371-4428-AC3F-C2A3FCBCA7B7}"/>
    <cellStyle name="40% - Accent5 2 3 6 3" xfId="10886" xr:uid="{9C58A900-2271-47A7-86C3-384A0F790706}"/>
    <cellStyle name="40% - Accent5 2 3 7" xfId="4588" xr:uid="{00000000-0005-0000-0000-00007E060000}"/>
    <cellStyle name="40% - Accent5 2 3 7 2" xfId="13038" xr:uid="{590FFFD3-99CE-41AF-9B20-F5A071E7B4A8}"/>
    <cellStyle name="40% - Accent5 2 3 8" xfId="8820" xr:uid="{A20BBDA5-EEAC-434F-99C8-5E70D7D39345}"/>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BE668EDA-A7E6-4EDC-B7B8-85D277571BBF}"/>
    <cellStyle name="40% - Accent5 2 4 2 3" xfId="11376" xr:uid="{D5DA45B4-3D05-4089-8D1D-85F203A59E6F}"/>
    <cellStyle name="40% - Accent5 2 4 3" xfId="4999" xr:uid="{00000000-0005-0000-0000-000082060000}"/>
    <cellStyle name="40% - Accent5 2 4 3 2" xfId="13449" xr:uid="{3942E461-1E2E-46B0-9A37-BC8DC68E02C7}"/>
    <cellStyle name="40% - Accent5 2 4 4" xfId="9231" xr:uid="{E3F8B306-F8BF-44EC-9612-6D4547323F22}"/>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5B2E6F6C-FDCA-4F97-B6E1-94CD018D8908}"/>
    <cellStyle name="40% - Accent5 2 5 2 3" xfId="11789" xr:uid="{1EB3C61C-9F3A-44F8-BC95-AB521816C2EC}"/>
    <cellStyle name="40% - Accent5 2 5 3" xfId="5412" xr:uid="{00000000-0005-0000-0000-000086060000}"/>
    <cellStyle name="40% - Accent5 2 5 3 2" xfId="13862" xr:uid="{299ED41E-2E2C-4EFF-81AE-104C9CEC08F8}"/>
    <cellStyle name="40% - Accent5 2 5 4" xfId="9644" xr:uid="{803A2ECA-6374-4B37-A492-F98F035EAFD1}"/>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5AFBBA03-373F-433B-A3B6-24B7B118DF9A}"/>
    <cellStyle name="40% - Accent5 2 6 2 3" xfId="12202" xr:uid="{44F0257D-0F27-4AA6-9A3C-97100AB89316}"/>
    <cellStyle name="40% - Accent5 2 6 3" xfId="5825" xr:uid="{00000000-0005-0000-0000-00008A060000}"/>
    <cellStyle name="40% - Accent5 2 6 3 2" xfId="14275" xr:uid="{B320064D-6053-470E-8A6B-01CBB79D52A2}"/>
    <cellStyle name="40% - Accent5 2 6 4" xfId="10057" xr:uid="{0C834570-4AF0-4220-B59D-510B8A39954F}"/>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1D7A6BAC-C28B-4A21-B46A-478E98684D0F}"/>
    <cellStyle name="40% - Accent5 2 7 2 3" xfId="12615" xr:uid="{B15AFDC7-1967-400A-8371-EBA865C9B6E1}"/>
    <cellStyle name="40% - Accent5 2 7 3" xfId="6238" xr:uid="{00000000-0005-0000-0000-00008E060000}"/>
    <cellStyle name="40% - Accent5 2 7 3 2" xfId="14688" xr:uid="{50D91946-2AB1-4067-9498-21836FCC8881}"/>
    <cellStyle name="40% - Accent5 2 7 4" xfId="10470" xr:uid="{209B04EB-091D-46B3-8CA3-BF1070F8A13C}"/>
    <cellStyle name="40% - Accent5 2 8" xfId="2345" xr:uid="{00000000-0005-0000-0000-00008F060000}"/>
    <cellStyle name="40% - Accent5 2 8 2" xfId="6651" xr:uid="{00000000-0005-0000-0000-000090060000}"/>
    <cellStyle name="40% - Accent5 2 8 2 2" xfId="15101" xr:uid="{B6B85B79-F4F8-4353-8172-7F8320FBD849}"/>
    <cellStyle name="40% - Accent5 2 8 3" xfId="10883" xr:uid="{1CFB1E86-DCDB-404B-BE73-EA5525EF0C85}"/>
    <cellStyle name="40% - Accent5 2 9" xfId="4585" xr:uid="{00000000-0005-0000-0000-000091060000}"/>
    <cellStyle name="40% - Accent5 2 9 2" xfId="13035" xr:uid="{F2265562-990C-4BD6-B675-E29FF57DB0FB}"/>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8ECA8A86-5440-46D1-B205-7CD42FA1F27E}"/>
    <cellStyle name="40% - Accent5 3 2 2 2 3" xfId="11381" xr:uid="{BDA44A3E-4640-4333-879E-D41C88D30E33}"/>
    <cellStyle name="40% - Accent5 3 2 2 3" xfId="5004" xr:uid="{00000000-0005-0000-0000-000097060000}"/>
    <cellStyle name="40% - Accent5 3 2 2 3 2" xfId="13454" xr:uid="{B8C19637-B05A-41B7-9B08-C4995F822300}"/>
    <cellStyle name="40% - Accent5 3 2 2 4" xfId="9236" xr:uid="{FD154776-56EE-4AE5-9F47-F9C1909BB91C}"/>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EA71E088-696B-4CE8-88C9-A36076049288}"/>
    <cellStyle name="40% - Accent5 3 2 3 2 3" xfId="11794" xr:uid="{BED6C55D-51C1-4E97-9B8E-2165A3950C77}"/>
    <cellStyle name="40% - Accent5 3 2 3 3" xfId="5417" xr:uid="{00000000-0005-0000-0000-00009B060000}"/>
    <cellStyle name="40% - Accent5 3 2 3 3 2" xfId="13867" xr:uid="{1CB93A8C-4C0A-4BCC-9624-DE44FBB8F3AD}"/>
    <cellStyle name="40% - Accent5 3 2 3 4" xfId="9649" xr:uid="{F8E5017E-5ABE-4BCF-B467-C723C982638F}"/>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AE83EA2A-6CFD-4A9A-B424-2B576755738A}"/>
    <cellStyle name="40% - Accent5 3 2 4 2 3" xfId="12207" xr:uid="{65A06E71-F9FD-42D8-91AA-B2D1953B3DCB}"/>
    <cellStyle name="40% - Accent5 3 2 4 3" xfId="5830" xr:uid="{00000000-0005-0000-0000-00009F060000}"/>
    <cellStyle name="40% - Accent5 3 2 4 3 2" xfId="14280" xr:uid="{BBC4B116-E44C-4476-BEA8-9CD3C6AA9411}"/>
    <cellStyle name="40% - Accent5 3 2 4 4" xfId="10062" xr:uid="{B957973B-923D-48E4-BCBD-1EF511199715}"/>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35AEB034-0723-4102-BC92-93F4FBF5D914}"/>
    <cellStyle name="40% - Accent5 3 2 5 2 3" xfId="12620" xr:uid="{A71544B0-B9EF-486C-992E-2DB3008A04CD}"/>
    <cellStyle name="40% - Accent5 3 2 5 3" xfId="6243" xr:uid="{00000000-0005-0000-0000-0000A3060000}"/>
    <cellStyle name="40% - Accent5 3 2 5 3 2" xfId="14693" xr:uid="{C0CC332F-BC51-4380-BDAC-C0F8015B6D6C}"/>
    <cellStyle name="40% - Accent5 3 2 5 4" xfId="10475" xr:uid="{FE4F994A-0C74-43BF-89B6-5579BB49A734}"/>
    <cellStyle name="40% - Accent5 3 2 6" xfId="2350" xr:uid="{00000000-0005-0000-0000-0000A4060000}"/>
    <cellStyle name="40% - Accent5 3 2 6 2" xfId="6656" xr:uid="{00000000-0005-0000-0000-0000A5060000}"/>
    <cellStyle name="40% - Accent5 3 2 6 2 2" xfId="15106" xr:uid="{AA3F7742-A895-45C3-A0CF-55EF53DAD9BB}"/>
    <cellStyle name="40% - Accent5 3 2 6 3" xfId="10888" xr:uid="{B24AFAE4-F867-483D-A1B1-3D7D58FF53B3}"/>
    <cellStyle name="40% - Accent5 3 2 7" xfId="4590" xr:uid="{00000000-0005-0000-0000-0000A6060000}"/>
    <cellStyle name="40% - Accent5 3 2 7 2" xfId="13040" xr:uid="{81DF55B5-016E-4ED8-B3DA-371537978001}"/>
    <cellStyle name="40% - Accent5 3 2 8" xfId="8822" xr:uid="{80439987-2EF6-4883-AA19-76F0BA21CF96}"/>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734A80ED-1EFA-47C6-8253-22862F4CD344}"/>
    <cellStyle name="40% - Accent5 3 3 2 3" xfId="11380" xr:uid="{D2607A40-71CC-4F73-8279-D338ADBFC7FD}"/>
    <cellStyle name="40% - Accent5 3 3 3" xfId="5003" xr:uid="{00000000-0005-0000-0000-0000AA060000}"/>
    <cellStyle name="40% - Accent5 3 3 3 2" xfId="13453" xr:uid="{6307C591-29C4-4253-87E9-1226446E6D56}"/>
    <cellStyle name="40% - Accent5 3 3 4" xfId="9235" xr:uid="{567F4C7C-8BCD-454B-B790-3484A401612F}"/>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6BA3D00C-AF97-4843-8DE8-5F2B930D345B}"/>
    <cellStyle name="40% - Accent5 3 4 2 3" xfId="11793" xr:uid="{30967901-DE5F-443C-B4DE-CD2E2FEC5CA9}"/>
    <cellStyle name="40% - Accent5 3 4 3" xfId="5416" xr:uid="{00000000-0005-0000-0000-0000AE060000}"/>
    <cellStyle name="40% - Accent5 3 4 3 2" xfId="13866" xr:uid="{CD769A63-F527-4961-A040-28F41C3BBA1B}"/>
    <cellStyle name="40% - Accent5 3 4 4" xfId="9648" xr:uid="{12565162-4F4E-4AB1-8290-E06AC850C026}"/>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D1210686-355A-4E45-8B8C-80A1B8F0D496}"/>
    <cellStyle name="40% - Accent5 3 5 2 3" xfId="12206" xr:uid="{F3621FC6-CE0C-4B28-A1CD-F115523E7BF0}"/>
    <cellStyle name="40% - Accent5 3 5 3" xfId="5829" xr:uid="{00000000-0005-0000-0000-0000B2060000}"/>
    <cellStyle name="40% - Accent5 3 5 3 2" xfId="14279" xr:uid="{24E67C76-327B-4F39-B8D4-EC19C9EE6B07}"/>
    <cellStyle name="40% - Accent5 3 5 4" xfId="10061" xr:uid="{B64C450A-5F2E-439A-9C28-EF22835A0FF7}"/>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97583E95-CCEA-4601-9BB0-7138B14E947B}"/>
    <cellStyle name="40% - Accent5 3 6 2 3" xfId="12619" xr:uid="{EDCCC599-3BD8-4D50-8A34-4BD236372B5C}"/>
    <cellStyle name="40% - Accent5 3 6 3" xfId="6242" xr:uid="{00000000-0005-0000-0000-0000B6060000}"/>
    <cellStyle name="40% - Accent5 3 6 3 2" xfId="14692" xr:uid="{FAD12932-28CB-46A6-9055-F35E5BBB3679}"/>
    <cellStyle name="40% - Accent5 3 6 4" xfId="10474" xr:uid="{AD873996-6A8B-4C1A-9B4F-E00CC80BE2C3}"/>
    <cellStyle name="40% - Accent5 3 7" xfId="2349" xr:uid="{00000000-0005-0000-0000-0000B7060000}"/>
    <cellStyle name="40% - Accent5 3 7 2" xfId="6655" xr:uid="{00000000-0005-0000-0000-0000B8060000}"/>
    <cellStyle name="40% - Accent5 3 7 2 2" xfId="15105" xr:uid="{6756FB87-6F0A-47E8-B8D3-1988AB81DF2B}"/>
    <cellStyle name="40% - Accent5 3 7 3" xfId="10887" xr:uid="{5DB3C371-BDB5-4A52-965A-FD24BBCB1FEE}"/>
    <cellStyle name="40% - Accent5 3 8" xfId="4589" xr:uid="{00000000-0005-0000-0000-0000B9060000}"/>
    <cellStyle name="40% - Accent5 3 8 2" xfId="13039" xr:uid="{A34A75B3-6FEB-49BD-A218-B91FE576A966}"/>
    <cellStyle name="40% - Accent5 3 9" xfId="8821" xr:uid="{2F24E948-198B-42B2-B7CA-F42492D90CD2}"/>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C8D81A7C-8C70-43F7-9F7C-41D338239F2B}"/>
    <cellStyle name="40% - Accent5 4 2 2 3" xfId="11382" xr:uid="{B1FF6425-FFDE-4D8A-839B-5128721A4E76}"/>
    <cellStyle name="40% - Accent5 4 2 3" xfId="5005" xr:uid="{00000000-0005-0000-0000-0000BE060000}"/>
    <cellStyle name="40% - Accent5 4 2 3 2" xfId="13455" xr:uid="{D502E936-2736-4A46-9D3D-2453A197B986}"/>
    <cellStyle name="40% - Accent5 4 2 4" xfId="9237" xr:uid="{30261534-62E5-402B-9F95-16C17904BCAC}"/>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21901B98-127F-4224-82CE-89B5A760B162}"/>
    <cellStyle name="40% - Accent5 4 3 2 3" xfId="11795" xr:uid="{011303A1-3EB9-4AC0-8A8D-43CD204754A8}"/>
    <cellStyle name="40% - Accent5 4 3 3" xfId="5418" xr:uid="{00000000-0005-0000-0000-0000C2060000}"/>
    <cellStyle name="40% - Accent5 4 3 3 2" xfId="13868" xr:uid="{16966377-6F99-4B0B-B4F1-8FAB14671B3C}"/>
    <cellStyle name="40% - Accent5 4 3 4" xfId="9650" xr:uid="{5CFE7E93-0ABA-4023-BFA7-32C0DB90D4D8}"/>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3E10B098-5789-4766-B19E-D0F43E6EDA72}"/>
    <cellStyle name="40% - Accent5 4 4 2 3" xfId="12208" xr:uid="{E6BAC453-F9A4-4992-A6DF-35CC61589594}"/>
    <cellStyle name="40% - Accent5 4 4 3" xfId="5831" xr:uid="{00000000-0005-0000-0000-0000C6060000}"/>
    <cellStyle name="40% - Accent5 4 4 3 2" xfId="14281" xr:uid="{35851AF7-96D7-40C9-AED7-20522F1F5D37}"/>
    <cellStyle name="40% - Accent5 4 4 4" xfId="10063" xr:uid="{F017AF26-1DE1-49DC-98D1-4ABF64CAD068}"/>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2107C08B-FFBC-4A88-BD1F-4EEF557C1E99}"/>
    <cellStyle name="40% - Accent5 4 5 2 3" xfId="12621" xr:uid="{C7491373-D145-495D-9186-58C526319378}"/>
    <cellStyle name="40% - Accent5 4 5 3" xfId="6244" xr:uid="{00000000-0005-0000-0000-0000CA060000}"/>
    <cellStyle name="40% - Accent5 4 5 3 2" xfId="14694" xr:uid="{56E16F2E-2EEF-4E2D-B2D3-E994DD6E6626}"/>
    <cellStyle name="40% - Accent5 4 5 4" xfId="10476" xr:uid="{014A1E52-3D2C-4285-9527-D460AF891CDA}"/>
    <cellStyle name="40% - Accent5 4 6" xfId="2351" xr:uid="{00000000-0005-0000-0000-0000CB060000}"/>
    <cellStyle name="40% - Accent5 4 6 2" xfId="6657" xr:uid="{00000000-0005-0000-0000-0000CC060000}"/>
    <cellStyle name="40% - Accent5 4 6 2 2" xfId="15107" xr:uid="{FA84C2A4-06EC-43EB-ACEE-4A65F126EF38}"/>
    <cellStyle name="40% - Accent5 4 6 3" xfId="10889" xr:uid="{849A6BAF-C9D5-432F-A692-0D2D36DA4E3D}"/>
    <cellStyle name="40% - Accent5 4 7" xfId="4591" xr:uid="{00000000-0005-0000-0000-0000CD060000}"/>
    <cellStyle name="40% - Accent5 4 7 2" xfId="13041" xr:uid="{3367C588-E94A-472A-A161-F3B5E2D3A50C}"/>
    <cellStyle name="40% - Accent5 4 8" xfId="8823" xr:uid="{A4D5F925-1212-434D-A6DB-24360DD5166C}"/>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6D77ABE4-4610-4D94-BA14-D335F91DCFF5}"/>
    <cellStyle name="40% - Accent5 5 2 3" xfId="11375" xr:uid="{A381C16D-DD5E-4186-BD4D-6E36CBF7D5B6}"/>
    <cellStyle name="40% - Accent5 5 3" xfId="4998" xr:uid="{00000000-0005-0000-0000-0000D1060000}"/>
    <cellStyle name="40% - Accent5 5 3 2" xfId="13448" xr:uid="{A8BC3EE7-841C-428E-9C05-8D5B1F3FD534}"/>
    <cellStyle name="40% - Accent5 5 4" xfId="9230" xr:uid="{A8605BD7-2CD1-4DD6-B5E9-6CCB7D6A570C}"/>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F8211DA6-4CA1-47F4-AD40-63AEE2DF766D}"/>
    <cellStyle name="40% - Accent5 6 2 3" xfId="11788" xr:uid="{C8D0D22A-2C3C-49A7-A86B-76F9D7DD9364}"/>
    <cellStyle name="40% - Accent5 6 3" xfId="5411" xr:uid="{00000000-0005-0000-0000-0000D5060000}"/>
    <cellStyle name="40% - Accent5 6 3 2" xfId="13861" xr:uid="{BA0ED19D-1B83-40D1-9A1F-990DE4FFD17C}"/>
    <cellStyle name="40% - Accent5 6 4" xfId="9643" xr:uid="{BE01150F-2988-46E9-BB07-99DAF0C1CBD3}"/>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45DF7119-6E26-4EE2-BE86-7FF87CC69B78}"/>
    <cellStyle name="40% - Accent5 7 2 3" xfId="12201" xr:uid="{5F77AB62-5608-4A7C-8A1B-24AA7833AED8}"/>
    <cellStyle name="40% - Accent5 7 3" xfId="5824" xr:uid="{00000000-0005-0000-0000-0000D9060000}"/>
    <cellStyle name="40% - Accent5 7 3 2" xfId="14274" xr:uid="{72F799C4-5FB9-44F6-AF5A-C405ED6C4879}"/>
    <cellStyle name="40% - Accent5 7 4" xfId="10056" xr:uid="{68EB092A-E059-49BC-AAE5-A00E58D323A5}"/>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BA9DA617-4960-49C6-8F8B-FE9CB2915CCD}"/>
    <cellStyle name="40% - Accent5 8 2 3" xfId="12614" xr:uid="{2E73773A-0BC5-468B-8397-342F6F76A919}"/>
    <cellStyle name="40% - Accent5 8 3" xfId="6237" xr:uid="{00000000-0005-0000-0000-0000DD060000}"/>
    <cellStyle name="40% - Accent5 8 3 2" xfId="14687" xr:uid="{7C4DCE62-3E58-4406-BE77-F2A7546CDEC0}"/>
    <cellStyle name="40% - Accent5 8 4" xfId="10469" xr:uid="{1FC89788-D774-4B4E-94F7-DE9684F0BE7E}"/>
    <cellStyle name="40% - Accent5 9" xfId="2344" xr:uid="{00000000-0005-0000-0000-0000DE060000}"/>
    <cellStyle name="40% - Accent5 9 2" xfId="6650" xr:uid="{00000000-0005-0000-0000-0000DF060000}"/>
    <cellStyle name="40% - Accent5 9 2 2" xfId="15100" xr:uid="{C646920C-AC58-4495-878B-1454DABBA8D2}"/>
    <cellStyle name="40% - Accent5 9 3" xfId="10882" xr:uid="{0BAB3F4D-BBF3-4165-89D0-415F54A66156}"/>
    <cellStyle name="40% - Accent6" xfId="89" builtinId="51" customBuiltin="1"/>
    <cellStyle name="40% - Accent6 10" xfId="4592" xr:uid="{00000000-0005-0000-0000-0000E1060000}"/>
    <cellStyle name="40% - Accent6 10 2" xfId="13042" xr:uid="{E0054AE0-E862-4551-915D-CF20B1442404}"/>
    <cellStyle name="40% - Accent6 11" xfId="8824" xr:uid="{5D469CAD-59A8-491C-9EEC-FFEF6756201F}"/>
    <cellStyle name="40% - Accent6 2" xfId="90" xr:uid="{00000000-0005-0000-0000-0000E2060000}"/>
    <cellStyle name="40% - Accent6 2 10" xfId="8825" xr:uid="{2FFDC318-8AB3-4085-9B19-AB02CF9778B7}"/>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14A1B1CC-D1F9-405E-A814-1B042B9575BC}"/>
    <cellStyle name="40% - Accent6 2 2 2 2 2 3" xfId="11386" xr:uid="{F8CAF12B-C18A-4631-BF64-7A6823A00682}"/>
    <cellStyle name="40% - Accent6 2 2 2 2 3" xfId="5009" xr:uid="{00000000-0005-0000-0000-0000E8060000}"/>
    <cellStyle name="40% - Accent6 2 2 2 2 3 2" xfId="13459" xr:uid="{92C610A4-4CB8-4AF7-AEC9-54229D481F1A}"/>
    <cellStyle name="40% - Accent6 2 2 2 2 4" xfId="9241" xr:uid="{271CDA51-035F-4F55-A999-F707F1793903}"/>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96599F5D-E415-4D50-B3D7-C9EC52B36BEE}"/>
    <cellStyle name="40% - Accent6 2 2 2 3 2 3" xfId="11799" xr:uid="{1B6C6B78-A33F-4A06-A6E3-72CC73B61E82}"/>
    <cellStyle name="40% - Accent6 2 2 2 3 3" xfId="5422" xr:uid="{00000000-0005-0000-0000-0000EC060000}"/>
    <cellStyle name="40% - Accent6 2 2 2 3 3 2" xfId="13872" xr:uid="{D651D31B-DF12-4E8F-A020-5C9DD38165B8}"/>
    <cellStyle name="40% - Accent6 2 2 2 3 4" xfId="9654" xr:uid="{0C8F01BB-A0D7-4B85-9556-553F72862053}"/>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CA7AD0E2-D78A-4EEF-96D4-D022BBC81EEF}"/>
    <cellStyle name="40% - Accent6 2 2 2 4 2 3" xfId="12212" xr:uid="{06D50FAE-14EB-40D4-A0D5-02E5D8ED1993}"/>
    <cellStyle name="40% - Accent6 2 2 2 4 3" xfId="5835" xr:uid="{00000000-0005-0000-0000-0000F0060000}"/>
    <cellStyle name="40% - Accent6 2 2 2 4 3 2" xfId="14285" xr:uid="{868D661C-9251-4274-8CCB-9DE74F85517A}"/>
    <cellStyle name="40% - Accent6 2 2 2 4 4" xfId="10067" xr:uid="{E75C0025-FC4B-4B93-8245-B08E8CBA2144}"/>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F7439574-5A17-4116-AA77-E1F14C830D35}"/>
    <cellStyle name="40% - Accent6 2 2 2 5 2 3" xfId="12625" xr:uid="{E73A1E0B-C920-4B59-B019-714C135F2A02}"/>
    <cellStyle name="40% - Accent6 2 2 2 5 3" xfId="6248" xr:uid="{00000000-0005-0000-0000-0000F4060000}"/>
    <cellStyle name="40% - Accent6 2 2 2 5 3 2" xfId="14698" xr:uid="{87878644-A498-4C99-9B20-17FA2360D509}"/>
    <cellStyle name="40% - Accent6 2 2 2 5 4" xfId="10480" xr:uid="{9948DFE8-AE2E-4C8D-A5BE-81081A22F50A}"/>
    <cellStyle name="40% - Accent6 2 2 2 6" xfId="2355" xr:uid="{00000000-0005-0000-0000-0000F5060000}"/>
    <cellStyle name="40% - Accent6 2 2 2 6 2" xfId="6661" xr:uid="{00000000-0005-0000-0000-0000F6060000}"/>
    <cellStyle name="40% - Accent6 2 2 2 6 2 2" xfId="15111" xr:uid="{5DF829AB-4D0E-4BC3-9B18-ECE5A8827AA6}"/>
    <cellStyle name="40% - Accent6 2 2 2 6 3" xfId="10893" xr:uid="{73EBBFB6-0317-437A-9886-E3D8DB13481A}"/>
    <cellStyle name="40% - Accent6 2 2 2 7" xfId="4595" xr:uid="{00000000-0005-0000-0000-0000F7060000}"/>
    <cellStyle name="40% - Accent6 2 2 2 7 2" xfId="13045" xr:uid="{318D52AF-2442-43F2-8B9C-4D5DE7831F31}"/>
    <cellStyle name="40% - Accent6 2 2 2 8" xfId="8827" xr:uid="{E0F4D6FF-ACA4-4D34-BD3A-A6493996D79D}"/>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8036F530-A73D-4EE4-9595-A45E5A5DEDF5}"/>
    <cellStyle name="40% - Accent6 2 2 3 2 3" xfId="11385" xr:uid="{7A52B634-0A37-4927-9885-A98BA26440D9}"/>
    <cellStyle name="40% - Accent6 2 2 3 3" xfId="5008" xr:uid="{00000000-0005-0000-0000-0000FB060000}"/>
    <cellStyle name="40% - Accent6 2 2 3 3 2" xfId="13458" xr:uid="{8913BF69-DF01-43E1-BC85-FDCA322C792D}"/>
    <cellStyle name="40% - Accent6 2 2 3 4" xfId="9240" xr:uid="{E45B32B6-29F0-4F9D-87BF-3BE293E547C7}"/>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67CE66A6-CEA4-43AC-8544-4E5D0369AF84}"/>
    <cellStyle name="40% - Accent6 2 2 4 2 3" xfId="11798" xr:uid="{CF6977F9-1C8E-4EE1-A86B-AA6113F96F5A}"/>
    <cellStyle name="40% - Accent6 2 2 4 3" xfId="5421" xr:uid="{00000000-0005-0000-0000-0000FF060000}"/>
    <cellStyle name="40% - Accent6 2 2 4 3 2" xfId="13871" xr:uid="{A12627C6-D12A-4A09-B5DF-E85F67A85412}"/>
    <cellStyle name="40% - Accent6 2 2 4 4" xfId="9653" xr:uid="{A13EC423-8997-495B-9754-E06A6683FFC5}"/>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ADE4CAE9-7C0E-4C1F-828B-3589E0BED4EC}"/>
    <cellStyle name="40% - Accent6 2 2 5 2 3" xfId="12211" xr:uid="{9BC269E3-8B3E-4FC6-AFD1-32962C5B91AD}"/>
    <cellStyle name="40% - Accent6 2 2 5 3" xfId="5834" xr:uid="{00000000-0005-0000-0000-000003070000}"/>
    <cellStyle name="40% - Accent6 2 2 5 3 2" xfId="14284" xr:uid="{82E3D342-5D7D-4E0A-9BBA-4F800932FD93}"/>
    <cellStyle name="40% - Accent6 2 2 5 4" xfId="10066" xr:uid="{CA229543-7115-468D-B1FB-BA4150FA7718}"/>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5F152B26-8B78-42FA-B2EB-3DA2D5F789BE}"/>
    <cellStyle name="40% - Accent6 2 2 6 2 3" xfId="12624" xr:uid="{7428DF5D-FC2A-4765-8FD9-D356D711E15E}"/>
    <cellStyle name="40% - Accent6 2 2 6 3" xfId="6247" xr:uid="{00000000-0005-0000-0000-000007070000}"/>
    <cellStyle name="40% - Accent6 2 2 6 3 2" xfId="14697" xr:uid="{686B6B67-0102-49D9-9A10-52389FC76324}"/>
    <cellStyle name="40% - Accent6 2 2 6 4" xfId="10479" xr:uid="{70E2BE52-D151-43B1-A460-CA4C689C59C9}"/>
    <cellStyle name="40% - Accent6 2 2 7" xfId="2354" xr:uid="{00000000-0005-0000-0000-000008070000}"/>
    <cellStyle name="40% - Accent6 2 2 7 2" xfId="6660" xr:uid="{00000000-0005-0000-0000-000009070000}"/>
    <cellStyle name="40% - Accent6 2 2 7 2 2" xfId="15110" xr:uid="{70EB9A90-0F3D-490C-B641-3D617E952258}"/>
    <cellStyle name="40% - Accent6 2 2 7 3" xfId="10892" xr:uid="{80CB3A99-63DB-492B-809C-884BB933201F}"/>
    <cellStyle name="40% - Accent6 2 2 8" xfId="4594" xr:uid="{00000000-0005-0000-0000-00000A070000}"/>
    <cellStyle name="40% - Accent6 2 2 8 2" xfId="13044" xr:uid="{B0E9E039-EDE4-424A-88B6-783E6B9082EC}"/>
    <cellStyle name="40% - Accent6 2 2 9" xfId="8826" xr:uid="{8DA16726-0ABC-4560-A5C2-5B7C5D3044C6}"/>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49E4346E-23A6-4FAC-B0C8-8DE21E7985FD}"/>
    <cellStyle name="40% - Accent6 2 3 2 2 3" xfId="11387" xr:uid="{A5D9CE68-5030-4D22-A0A4-BF8EEFB72967}"/>
    <cellStyle name="40% - Accent6 2 3 2 3" xfId="5010" xr:uid="{00000000-0005-0000-0000-00000F070000}"/>
    <cellStyle name="40% - Accent6 2 3 2 3 2" xfId="13460" xr:uid="{553A5F4F-DAEA-49CE-B4ED-D67653843F46}"/>
    <cellStyle name="40% - Accent6 2 3 2 4" xfId="9242" xr:uid="{1ED5E802-49CF-40AA-8975-6D7FFD1F7BA9}"/>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BB5C2740-A809-4460-A677-4304D90A2A97}"/>
    <cellStyle name="40% - Accent6 2 3 3 2 3" xfId="11800" xr:uid="{3C60F03A-EC8F-4D91-B59A-58746D70C830}"/>
    <cellStyle name="40% - Accent6 2 3 3 3" xfId="5423" xr:uid="{00000000-0005-0000-0000-000013070000}"/>
    <cellStyle name="40% - Accent6 2 3 3 3 2" xfId="13873" xr:uid="{0122161D-CF8E-447D-9496-53C36098193C}"/>
    <cellStyle name="40% - Accent6 2 3 3 4" xfId="9655" xr:uid="{DAEDFEDC-F0EC-4C50-8755-580110961886}"/>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2207759B-63DC-4279-A797-A2FFECA376F3}"/>
    <cellStyle name="40% - Accent6 2 3 4 2 3" xfId="12213" xr:uid="{B03BE4A0-7FBF-4985-A873-249E3D356E1F}"/>
    <cellStyle name="40% - Accent6 2 3 4 3" xfId="5836" xr:uid="{00000000-0005-0000-0000-000017070000}"/>
    <cellStyle name="40% - Accent6 2 3 4 3 2" xfId="14286" xr:uid="{2369EAA7-27F7-4728-8ACD-622F826515A5}"/>
    <cellStyle name="40% - Accent6 2 3 4 4" xfId="10068" xr:uid="{1D5DE8C8-4443-43CE-BB08-383BADBBE215}"/>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C211803D-E8EE-4374-8983-84540A510E64}"/>
    <cellStyle name="40% - Accent6 2 3 5 2 3" xfId="12626" xr:uid="{7D0C8C51-3C8D-468B-8C06-F5FD9AF50CBE}"/>
    <cellStyle name="40% - Accent6 2 3 5 3" xfId="6249" xr:uid="{00000000-0005-0000-0000-00001B070000}"/>
    <cellStyle name="40% - Accent6 2 3 5 3 2" xfId="14699" xr:uid="{5FD4E95D-B9AE-4127-A16F-21CDC7758D90}"/>
    <cellStyle name="40% - Accent6 2 3 5 4" xfId="10481" xr:uid="{E10B1673-FA95-447C-9586-74AE60843F18}"/>
    <cellStyle name="40% - Accent6 2 3 6" xfId="2356" xr:uid="{00000000-0005-0000-0000-00001C070000}"/>
    <cellStyle name="40% - Accent6 2 3 6 2" xfId="6662" xr:uid="{00000000-0005-0000-0000-00001D070000}"/>
    <cellStyle name="40% - Accent6 2 3 6 2 2" xfId="15112" xr:uid="{551279B4-8654-41DC-9CBE-2F5C88526F89}"/>
    <cellStyle name="40% - Accent6 2 3 6 3" xfId="10894" xr:uid="{C153F163-4A6E-4D7E-9698-3159CAB708DC}"/>
    <cellStyle name="40% - Accent6 2 3 7" xfId="4596" xr:uid="{00000000-0005-0000-0000-00001E070000}"/>
    <cellStyle name="40% - Accent6 2 3 7 2" xfId="13046" xr:uid="{F9153D1E-861B-4B4F-8A6B-94B880CAD88C}"/>
    <cellStyle name="40% - Accent6 2 3 8" xfId="8828" xr:uid="{949399A8-0909-419F-B507-A0A8DDC78418}"/>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2AE0D355-0FBE-4707-8E56-203A014B1447}"/>
    <cellStyle name="40% - Accent6 2 4 2 3" xfId="11384" xr:uid="{76516F05-8D44-4DCA-83ED-E37034443101}"/>
    <cellStyle name="40% - Accent6 2 4 3" xfId="5007" xr:uid="{00000000-0005-0000-0000-000022070000}"/>
    <cellStyle name="40% - Accent6 2 4 3 2" xfId="13457" xr:uid="{3CD3D3E6-926D-4364-B5D0-69DED4D58842}"/>
    <cellStyle name="40% - Accent6 2 4 4" xfId="9239" xr:uid="{3504431F-404C-4498-AEF4-D2E545EE8061}"/>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0689B692-7C05-4432-90BD-620FDD471181}"/>
    <cellStyle name="40% - Accent6 2 5 2 3" xfId="11797" xr:uid="{6B07621D-E350-4C02-B3F8-A35E4E7340CE}"/>
    <cellStyle name="40% - Accent6 2 5 3" xfId="5420" xr:uid="{00000000-0005-0000-0000-000026070000}"/>
    <cellStyle name="40% - Accent6 2 5 3 2" xfId="13870" xr:uid="{2709954B-C7AC-40CA-879B-243C96BF807B}"/>
    <cellStyle name="40% - Accent6 2 5 4" xfId="9652" xr:uid="{DF12CC42-51CE-4CE3-A966-268529C8183A}"/>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C9AD9598-9453-4C72-96FB-A24D47171646}"/>
    <cellStyle name="40% - Accent6 2 6 2 3" xfId="12210" xr:uid="{F9A97FD0-D5EF-4C6D-BE92-A6F198E0B81B}"/>
    <cellStyle name="40% - Accent6 2 6 3" xfId="5833" xr:uid="{00000000-0005-0000-0000-00002A070000}"/>
    <cellStyle name="40% - Accent6 2 6 3 2" xfId="14283" xr:uid="{8B9D6A9C-35A9-4739-866E-6ED5F5F77174}"/>
    <cellStyle name="40% - Accent6 2 6 4" xfId="10065" xr:uid="{50EBCE42-0349-4014-A13E-6E09BF8E3688}"/>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C4D5E1B4-2183-451B-9533-9FCEF4D7053A}"/>
    <cellStyle name="40% - Accent6 2 7 2 3" xfId="12623" xr:uid="{F56E3180-D6B2-4042-B0FF-B40BAA5D83CD}"/>
    <cellStyle name="40% - Accent6 2 7 3" xfId="6246" xr:uid="{00000000-0005-0000-0000-00002E070000}"/>
    <cellStyle name="40% - Accent6 2 7 3 2" xfId="14696" xr:uid="{94A9C02C-B8C6-43BF-BF85-6CD466AEF67A}"/>
    <cellStyle name="40% - Accent6 2 7 4" xfId="10478" xr:uid="{70A24E55-221C-41AE-856B-4A87E5178E8F}"/>
    <cellStyle name="40% - Accent6 2 8" xfId="2353" xr:uid="{00000000-0005-0000-0000-00002F070000}"/>
    <cellStyle name="40% - Accent6 2 8 2" xfId="6659" xr:uid="{00000000-0005-0000-0000-000030070000}"/>
    <cellStyle name="40% - Accent6 2 8 2 2" xfId="15109" xr:uid="{8EFE13A1-E125-4786-8BBF-84656AE52DC9}"/>
    <cellStyle name="40% - Accent6 2 8 3" xfId="10891" xr:uid="{812E19CB-F0FD-4533-9970-23EA818A53AB}"/>
    <cellStyle name="40% - Accent6 2 9" xfId="4593" xr:uid="{00000000-0005-0000-0000-000031070000}"/>
    <cellStyle name="40% - Accent6 2 9 2" xfId="13043" xr:uid="{2F1305D7-2400-44BE-B966-EA00C38A7C09}"/>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13153A1A-2401-4644-81DC-6CF6A284089D}"/>
    <cellStyle name="40% - Accent6 3 2 2 2 3" xfId="11389" xr:uid="{26CEA1B1-4BB0-4613-BC5F-AF19F2B49828}"/>
    <cellStyle name="40% - Accent6 3 2 2 3" xfId="5012" xr:uid="{00000000-0005-0000-0000-000037070000}"/>
    <cellStyle name="40% - Accent6 3 2 2 3 2" xfId="13462" xr:uid="{53874F81-C2B3-4A1B-B40B-EAFA6FC5333B}"/>
    <cellStyle name="40% - Accent6 3 2 2 4" xfId="9244" xr:uid="{A35E3AAC-DAEF-4218-B797-7CE3F080C367}"/>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68E3C874-CA31-4F43-B51F-F3D06372B6FE}"/>
    <cellStyle name="40% - Accent6 3 2 3 2 3" xfId="11802" xr:uid="{7A5D52D9-40D2-41BB-9453-AF41B2CC484B}"/>
    <cellStyle name="40% - Accent6 3 2 3 3" xfId="5425" xr:uid="{00000000-0005-0000-0000-00003B070000}"/>
    <cellStyle name="40% - Accent6 3 2 3 3 2" xfId="13875" xr:uid="{0EF41440-5F74-4B5B-9E2D-087671CDD699}"/>
    <cellStyle name="40% - Accent6 3 2 3 4" xfId="9657" xr:uid="{414FD4AF-07D6-4212-992F-7E54E6BC4B2F}"/>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4D47C26E-391D-4C4F-991A-EE0959024BF7}"/>
    <cellStyle name="40% - Accent6 3 2 4 2 3" xfId="12215" xr:uid="{B1FF212A-8BD6-49B1-9856-639CA1AA2AE1}"/>
    <cellStyle name="40% - Accent6 3 2 4 3" xfId="5838" xr:uid="{00000000-0005-0000-0000-00003F070000}"/>
    <cellStyle name="40% - Accent6 3 2 4 3 2" xfId="14288" xr:uid="{AAE5F778-D2FA-4DA7-BC21-B6E30CF6BF32}"/>
    <cellStyle name="40% - Accent6 3 2 4 4" xfId="10070" xr:uid="{D998A85D-BD8B-473A-99A1-9513E52E71CD}"/>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8C05FCC5-B1A4-40C5-8558-27332E5A9769}"/>
    <cellStyle name="40% - Accent6 3 2 5 2 3" xfId="12628" xr:uid="{ECCB27EB-AE79-4039-9189-F4183C3F6851}"/>
    <cellStyle name="40% - Accent6 3 2 5 3" xfId="6251" xr:uid="{00000000-0005-0000-0000-000043070000}"/>
    <cellStyle name="40% - Accent6 3 2 5 3 2" xfId="14701" xr:uid="{2D12A945-478E-44B7-941F-B72BE0A578E4}"/>
    <cellStyle name="40% - Accent6 3 2 5 4" xfId="10483" xr:uid="{49FB609D-5F14-4048-BE9A-68250F767540}"/>
    <cellStyle name="40% - Accent6 3 2 6" xfId="2358" xr:uid="{00000000-0005-0000-0000-000044070000}"/>
    <cellStyle name="40% - Accent6 3 2 6 2" xfId="6664" xr:uid="{00000000-0005-0000-0000-000045070000}"/>
    <cellStyle name="40% - Accent6 3 2 6 2 2" xfId="15114" xr:uid="{951F500A-029E-4EAD-82B5-C03E417A35DE}"/>
    <cellStyle name="40% - Accent6 3 2 6 3" xfId="10896" xr:uid="{FDAA1BB2-B8A5-4954-9B64-0473066F6A70}"/>
    <cellStyle name="40% - Accent6 3 2 7" xfId="4598" xr:uid="{00000000-0005-0000-0000-000046070000}"/>
    <cellStyle name="40% - Accent6 3 2 7 2" xfId="13048" xr:uid="{8251C608-3804-4B5E-BE0B-BDF018876F0B}"/>
    <cellStyle name="40% - Accent6 3 2 8" xfId="8830" xr:uid="{4DDD2F40-BB7C-41B3-B3F1-889828B4CA94}"/>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7B91CF6C-9B64-4CD1-99AF-4ECC3D0CD875}"/>
    <cellStyle name="40% - Accent6 3 3 2 3" xfId="11388" xr:uid="{E753B9F5-A9BA-46C3-AA17-105B63371698}"/>
    <cellStyle name="40% - Accent6 3 3 3" xfId="5011" xr:uid="{00000000-0005-0000-0000-00004A070000}"/>
    <cellStyle name="40% - Accent6 3 3 3 2" xfId="13461" xr:uid="{BF120E0F-29EA-4042-9F52-F20B0DE21BDB}"/>
    <cellStyle name="40% - Accent6 3 3 4" xfId="9243" xr:uid="{C7C92077-B18D-446D-8C48-D729F56ECEE8}"/>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253E713A-F620-4133-AB05-E5E2329922FA}"/>
    <cellStyle name="40% - Accent6 3 4 2 3" xfId="11801" xr:uid="{288E02BB-35A6-42FC-963D-F5C262EF2976}"/>
    <cellStyle name="40% - Accent6 3 4 3" xfId="5424" xr:uid="{00000000-0005-0000-0000-00004E070000}"/>
    <cellStyle name="40% - Accent6 3 4 3 2" xfId="13874" xr:uid="{6965DE5C-935D-44DF-8C1D-EAC879E70B94}"/>
    <cellStyle name="40% - Accent6 3 4 4" xfId="9656" xr:uid="{AB278D49-0E05-443E-9A11-80CAED080AAF}"/>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9D374D67-2AE6-4BCC-A646-AE8AD31353C0}"/>
    <cellStyle name="40% - Accent6 3 5 2 3" xfId="12214" xr:uid="{8EB696F0-43EF-461F-A802-0056E888D2B8}"/>
    <cellStyle name="40% - Accent6 3 5 3" xfId="5837" xr:uid="{00000000-0005-0000-0000-000052070000}"/>
    <cellStyle name="40% - Accent6 3 5 3 2" xfId="14287" xr:uid="{98C875BA-CD1D-47A9-BF44-A58647EA2806}"/>
    <cellStyle name="40% - Accent6 3 5 4" xfId="10069" xr:uid="{73DD019D-3247-4744-9251-35B3100E29FE}"/>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D2E0FA05-49DD-4824-813A-68D01AD18F33}"/>
    <cellStyle name="40% - Accent6 3 6 2 3" xfId="12627" xr:uid="{8956063A-348F-4110-8315-F773B1A2C86E}"/>
    <cellStyle name="40% - Accent6 3 6 3" xfId="6250" xr:uid="{00000000-0005-0000-0000-000056070000}"/>
    <cellStyle name="40% - Accent6 3 6 3 2" xfId="14700" xr:uid="{B1947D4E-BDCC-46BF-9A47-C6DF985BC186}"/>
    <cellStyle name="40% - Accent6 3 6 4" xfId="10482" xr:uid="{C79076BF-6C56-45B3-A7D7-E2926E0E67C5}"/>
    <cellStyle name="40% - Accent6 3 7" xfId="2357" xr:uid="{00000000-0005-0000-0000-000057070000}"/>
    <cellStyle name="40% - Accent6 3 7 2" xfId="6663" xr:uid="{00000000-0005-0000-0000-000058070000}"/>
    <cellStyle name="40% - Accent6 3 7 2 2" xfId="15113" xr:uid="{CC4EB825-E96B-4845-8468-FF15E42F56EA}"/>
    <cellStyle name="40% - Accent6 3 7 3" xfId="10895" xr:uid="{2F80350D-451F-4824-AA14-838F9687BC6E}"/>
    <cellStyle name="40% - Accent6 3 8" xfId="4597" xr:uid="{00000000-0005-0000-0000-000059070000}"/>
    <cellStyle name="40% - Accent6 3 8 2" xfId="13047" xr:uid="{15E87CB6-A389-4065-97ED-655F885422EC}"/>
    <cellStyle name="40% - Accent6 3 9" xfId="8829" xr:uid="{89E451ED-C455-4026-A09D-149263937B9B}"/>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240E0256-5B52-4C42-B600-886FE875B65A}"/>
    <cellStyle name="40% - Accent6 4 2 2 3" xfId="11390" xr:uid="{DDD53C25-BCDF-46B1-A092-E7A866E5FB1D}"/>
    <cellStyle name="40% - Accent6 4 2 3" xfId="5013" xr:uid="{00000000-0005-0000-0000-00005E070000}"/>
    <cellStyle name="40% - Accent6 4 2 3 2" xfId="13463" xr:uid="{21CC8067-C71F-46CA-A439-70DB4D205A2E}"/>
    <cellStyle name="40% - Accent6 4 2 4" xfId="9245" xr:uid="{B3C86116-6D51-4058-ADD4-1B1660E7AB56}"/>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638F884D-05B4-4734-BBE4-AB9499E9256B}"/>
    <cellStyle name="40% - Accent6 4 3 2 3" xfId="11803" xr:uid="{51AB80F5-7464-400C-A872-6FA7A84E8719}"/>
    <cellStyle name="40% - Accent6 4 3 3" xfId="5426" xr:uid="{00000000-0005-0000-0000-000062070000}"/>
    <cellStyle name="40% - Accent6 4 3 3 2" xfId="13876" xr:uid="{B0403B58-2C65-4EA7-AC49-FD79BE1A5DE8}"/>
    <cellStyle name="40% - Accent6 4 3 4" xfId="9658" xr:uid="{783DDFB6-6B23-41C1-9D07-EAA2A4DC2645}"/>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97D3BDD0-0F4A-4C43-940E-967B1B1D9A2A}"/>
    <cellStyle name="40% - Accent6 4 4 2 3" xfId="12216" xr:uid="{23D41B9F-35C6-4B06-A20D-2A118A3059FD}"/>
    <cellStyle name="40% - Accent6 4 4 3" xfId="5839" xr:uid="{00000000-0005-0000-0000-000066070000}"/>
    <cellStyle name="40% - Accent6 4 4 3 2" xfId="14289" xr:uid="{1071FE9C-41A4-4D30-A8A0-9EE96A959099}"/>
    <cellStyle name="40% - Accent6 4 4 4" xfId="10071" xr:uid="{D3436604-C1D1-42B0-BA37-F83F4D45F418}"/>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ECF66592-6155-4746-B9A4-5C7CCC883AD6}"/>
    <cellStyle name="40% - Accent6 4 5 2 3" xfId="12629" xr:uid="{25F34D89-D570-447E-91AD-EC0D1601756D}"/>
    <cellStyle name="40% - Accent6 4 5 3" xfId="6252" xr:uid="{00000000-0005-0000-0000-00006A070000}"/>
    <cellStyle name="40% - Accent6 4 5 3 2" xfId="14702" xr:uid="{63A1DF99-5887-492F-ADF8-3D583B0ECD78}"/>
    <cellStyle name="40% - Accent6 4 5 4" xfId="10484" xr:uid="{087D9CBC-2577-40BF-8410-6342CE429699}"/>
    <cellStyle name="40% - Accent6 4 6" xfId="2359" xr:uid="{00000000-0005-0000-0000-00006B070000}"/>
    <cellStyle name="40% - Accent6 4 6 2" xfId="6665" xr:uid="{00000000-0005-0000-0000-00006C070000}"/>
    <cellStyle name="40% - Accent6 4 6 2 2" xfId="15115" xr:uid="{CBC23939-C344-4337-8EEB-908E0900F0B0}"/>
    <cellStyle name="40% - Accent6 4 6 3" xfId="10897" xr:uid="{9D6280B7-B3A6-45BA-B2A8-4A5B633F1443}"/>
    <cellStyle name="40% - Accent6 4 7" xfId="4599" xr:uid="{00000000-0005-0000-0000-00006D070000}"/>
    <cellStyle name="40% - Accent6 4 7 2" xfId="13049" xr:uid="{9E0D9612-CDB0-4326-9383-4B5029E8D692}"/>
    <cellStyle name="40% - Accent6 4 8" xfId="8831" xr:uid="{ACCD6B12-1253-4B52-BB36-9B46A4294F15}"/>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7171567D-7FA3-45E5-A84B-B29A6A1900A6}"/>
    <cellStyle name="40% - Accent6 5 2 3" xfId="11383" xr:uid="{78D35B02-ADB6-4B56-B94F-3DD741D6F91B}"/>
    <cellStyle name="40% - Accent6 5 3" xfId="5006" xr:uid="{00000000-0005-0000-0000-000071070000}"/>
    <cellStyle name="40% - Accent6 5 3 2" xfId="13456" xr:uid="{78220596-7DB3-439A-A342-35D4040DC5EC}"/>
    <cellStyle name="40% - Accent6 5 4" xfId="9238" xr:uid="{118B93DB-601A-44A3-A242-CF6788A884D1}"/>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4B89B480-D122-4400-B2D7-C57F9E31DE34}"/>
    <cellStyle name="40% - Accent6 6 2 3" xfId="11796" xr:uid="{85C7CF2E-A6E6-46C8-B404-495C4F70B959}"/>
    <cellStyle name="40% - Accent6 6 3" xfId="5419" xr:uid="{00000000-0005-0000-0000-000075070000}"/>
    <cellStyle name="40% - Accent6 6 3 2" xfId="13869" xr:uid="{341CE68F-AF15-4A8D-8063-82B75E92CA94}"/>
    <cellStyle name="40% - Accent6 6 4" xfId="9651" xr:uid="{FA471E5B-E6E1-4F1A-9F75-B898AB771ECE}"/>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AE0FCF8C-0F9D-4479-9D50-F44434188901}"/>
    <cellStyle name="40% - Accent6 7 2 3" xfId="12209" xr:uid="{E6A27297-ACDC-4648-9C36-AFA8DA76188C}"/>
    <cellStyle name="40% - Accent6 7 3" xfId="5832" xr:uid="{00000000-0005-0000-0000-000079070000}"/>
    <cellStyle name="40% - Accent6 7 3 2" xfId="14282" xr:uid="{ECDD71C2-9F9D-4A4D-A3D5-B45948EDA7DD}"/>
    <cellStyle name="40% - Accent6 7 4" xfId="10064" xr:uid="{D75A8C40-1FC5-4F75-B49F-1BB5289E2367}"/>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4AC5E4F9-EE21-40D4-89D6-B83EA8F4F31D}"/>
    <cellStyle name="40% - Accent6 8 2 3" xfId="12622" xr:uid="{CF502D88-0062-490D-8A9A-5BEC2D777F0B}"/>
    <cellStyle name="40% - Accent6 8 3" xfId="6245" xr:uid="{00000000-0005-0000-0000-00007D070000}"/>
    <cellStyle name="40% - Accent6 8 3 2" xfId="14695" xr:uid="{C4000ADD-DF59-48B6-AFE5-638863B23BF1}"/>
    <cellStyle name="40% - Accent6 8 4" xfId="10477" xr:uid="{13FCFF8B-1C71-4EC9-88BE-E2C3FE9E314F}"/>
    <cellStyle name="40% - Accent6 9" xfId="2352" xr:uid="{00000000-0005-0000-0000-00007E070000}"/>
    <cellStyle name="40% - Accent6 9 2" xfId="6658" xr:uid="{00000000-0005-0000-0000-00007F070000}"/>
    <cellStyle name="40% - Accent6 9 2 2" xfId="15108" xr:uid="{5D75FD56-CBCC-4D00-A530-2D331127499F}"/>
    <cellStyle name="40% - Accent6 9 3" xfId="10890" xr:uid="{5AA70DFA-D3CC-4E6D-898B-3558E3EB51DE}"/>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AE9D15E3-0CA6-40E2-8538-10D9E7BFEE5C}"/>
    <cellStyle name="Comma 4 2 2 2 10 3" xfId="11215" xr:uid="{31CA42E2-1FC4-45BD-9BFA-FDDDB55571C5}"/>
    <cellStyle name="Comma 4 2 2 2 11" xfId="4600" xr:uid="{00000000-0005-0000-0000-0000A3070000}"/>
    <cellStyle name="Comma 4 2 2 2 11 2" xfId="13050" xr:uid="{D244C0D2-A2B8-4337-8A85-E668EFC1BCD8}"/>
    <cellStyle name="Comma 4 2 2 2 12" xfId="8832" xr:uid="{8C7993D6-2985-40CC-9B97-C2B76EC841E7}"/>
    <cellStyle name="Comma 4 2 2 2 2" xfId="129" xr:uid="{00000000-0005-0000-0000-0000A4070000}"/>
    <cellStyle name="Comma 4 2 2 2 2 10" xfId="4601" xr:uid="{00000000-0005-0000-0000-0000A5070000}"/>
    <cellStyle name="Comma 4 2 2 2 2 10 2" xfId="13051" xr:uid="{4146A46B-C468-428A-89C9-0FBEB6BDF543}"/>
    <cellStyle name="Comma 4 2 2 2 2 11" xfId="8833" xr:uid="{9615CE1A-22E8-4336-B514-995364FC6C01}"/>
    <cellStyle name="Comma 4 2 2 2 2 2" xfId="130" xr:uid="{00000000-0005-0000-0000-0000A6070000}"/>
    <cellStyle name="Comma 4 2 2 2 2 2 10" xfId="8834" xr:uid="{6B168C81-DB7B-4AC6-9CBB-28677F18B8B5}"/>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61D59893-E2D1-4FC5-A103-DDD6A2BC7308}"/>
    <cellStyle name="Comma 4 2 2 2 2 2 2 2 3" xfId="11393" xr:uid="{D707C2CF-F45B-4C67-8474-7A8595E0E6A8}"/>
    <cellStyle name="Comma 4 2 2 2 2 2 2 3" xfId="5016" xr:uid="{00000000-0005-0000-0000-0000AA070000}"/>
    <cellStyle name="Comma 4 2 2 2 2 2 2 3 2" xfId="13466" xr:uid="{5E1BA51E-0F01-4AB7-8EDC-14ECB97E1D88}"/>
    <cellStyle name="Comma 4 2 2 2 2 2 2 4" xfId="9248" xr:uid="{1FD13AAD-AB94-45F7-A5BB-89F604BCFF1A}"/>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3A37E368-8EA6-4BF1-9BAB-E0F3B813E4EF}"/>
    <cellStyle name="Comma 4 2 2 2 2 2 3 2 3" xfId="11806" xr:uid="{1BC73EB5-4F30-4C10-86E0-3583C3EE0091}"/>
    <cellStyle name="Comma 4 2 2 2 2 2 3 3" xfId="5429" xr:uid="{00000000-0005-0000-0000-0000AE070000}"/>
    <cellStyle name="Comma 4 2 2 2 2 2 3 3 2" xfId="13879" xr:uid="{E9B59F56-DE42-417A-BD41-C74E51664219}"/>
    <cellStyle name="Comma 4 2 2 2 2 2 3 4" xfId="9661" xr:uid="{187858E6-58CE-4799-B188-E7301B0CB20B}"/>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5624553F-2276-4470-AFB8-FA6E3FECC030}"/>
    <cellStyle name="Comma 4 2 2 2 2 2 4 2 3" xfId="12219" xr:uid="{CBF8C8D2-B40F-4F48-BEC7-54ACE59A35C0}"/>
    <cellStyle name="Comma 4 2 2 2 2 2 4 3" xfId="5842" xr:uid="{00000000-0005-0000-0000-0000B2070000}"/>
    <cellStyle name="Comma 4 2 2 2 2 2 4 3 2" xfId="14292" xr:uid="{22186657-EBDD-4807-8FF3-97171E473C34}"/>
    <cellStyle name="Comma 4 2 2 2 2 2 4 4" xfId="10074" xr:uid="{DB9EF33A-8016-4BE3-AF44-E9AE79DD8B84}"/>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23244F91-B08A-478B-B323-21542A7105FE}"/>
    <cellStyle name="Comma 4 2 2 2 2 2 5 2 3" xfId="12632" xr:uid="{6E2E1B2E-8331-4A33-867D-4F07F4D3C404}"/>
    <cellStyle name="Comma 4 2 2 2 2 2 5 3" xfId="6255" xr:uid="{00000000-0005-0000-0000-0000B6070000}"/>
    <cellStyle name="Comma 4 2 2 2 2 2 5 3 2" xfId="14705" xr:uid="{0EAD49E9-CB48-4B90-8B14-D9A46399319F}"/>
    <cellStyle name="Comma 4 2 2 2 2 2 5 4" xfId="10487" xr:uid="{D1815570-2049-4732-BF25-6574F1080E8F}"/>
    <cellStyle name="Comma 4 2 2 2 2 2 6" xfId="2384" xr:uid="{00000000-0005-0000-0000-0000B7070000}"/>
    <cellStyle name="Comma 4 2 2 2 2 2 6 2" xfId="6668" xr:uid="{00000000-0005-0000-0000-0000B8070000}"/>
    <cellStyle name="Comma 4 2 2 2 2 2 6 2 2" xfId="15118" xr:uid="{78BCA8BF-E2C1-47A5-9FCF-43C58B35F08A}"/>
    <cellStyle name="Comma 4 2 2 2 2 2 6 3" xfId="10900" xr:uid="{F3BBF545-5A16-43DF-B102-4CAFEE929660}"/>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31A1EEAF-0553-4EE2-8A35-C0A7A02A5D3B}"/>
    <cellStyle name="Comma 4 2 2 2 2 2 8 3" xfId="11217" xr:uid="{142BEAE9-3C0A-4959-AEA0-918158F6648D}"/>
    <cellStyle name="Comma 4 2 2 2 2 2 9" xfId="4602" xr:uid="{00000000-0005-0000-0000-0000BC070000}"/>
    <cellStyle name="Comma 4 2 2 2 2 2 9 2" xfId="13052" xr:uid="{2266DDCC-6B58-4AC2-8D83-F0E98A80753A}"/>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F0B6CCF8-7EBF-4277-B136-262E9159CB67}"/>
    <cellStyle name="Comma 4 2 2 2 2 3 2 3" xfId="11392" xr:uid="{9A9BA70B-3826-4E8E-AE74-7C7FF39C92F5}"/>
    <cellStyle name="Comma 4 2 2 2 2 3 3" xfId="5015" xr:uid="{00000000-0005-0000-0000-0000C0070000}"/>
    <cellStyle name="Comma 4 2 2 2 2 3 3 2" xfId="13465" xr:uid="{5C2446C0-1EE2-4165-8063-D88B3559DDC8}"/>
    <cellStyle name="Comma 4 2 2 2 2 3 4" xfId="9247" xr:uid="{9DA42B82-9F7A-46ED-B78D-C5237972A951}"/>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BB911150-A768-48C9-AD37-7E85E7434588}"/>
    <cellStyle name="Comma 4 2 2 2 2 4 2 3" xfId="11805" xr:uid="{03EFDB8D-12D3-4887-80E8-B16205A585F4}"/>
    <cellStyle name="Comma 4 2 2 2 2 4 3" xfId="5428" xr:uid="{00000000-0005-0000-0000-0000C4070000}"/>
    <cellStyle name="Comma 4 2 2 2 2 4 3 2" xfId="13878" xr:uid="{FD7D6E37-12FB-49F3-8F23-9D3AFF56B1EE}"/>
    <cellStyle name="Comma 4 2 2 2 2 4 4" xfId="9660" xr:uid="{0202CA63-93F4-4BEA-904B-686F6988F14D}"/>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F5CBAE5A-3C3C-4F2D-B8AB-8975D44F5CE9}"/>
    <cellStyle name="Comma 4 2 2 2 2 5 2 3" xfId="12218" xr:uid="{EEFAED6F-5C2F-4280-8ABB-71746E8CB3B3}"/>
    <cellStyle name="Comma 4 2 2 2 2 5 3" xfId="5841" xr:uid="{00000000-0005-0000-0000-0000C8070000}"/>
    <cellStyle name="Comma 4 2 2 2 2 5 3 2" xfId="14291" xr:uid="{39DDC6D8-87F5-46DB-8265-3196BA59B0CF}"/>
    <cellStyle name="Comma 4 2 2 2 2 5 4" xfId="10073" xr:uid="{5DFCCDA1-6AB5-4623-999C-0EA2A8AFD538}"/>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12536488-2246-4522-B393-B005D26E10BD}"/>
    <cellStyle name="Comma 4 2 2 2 2 6 2 3" xfId="12631" xr:uid="{B02B6B6A-785C-45DB-B991-B175B9BC24E1}"/>
    <cellStyle name="Comma 4 2 2 2 2 6 3" xfId="6254" xr:uid="{00000000-0005-0000-0000-0000CC070000}"/>
    <cellStyle name="Comma 4 2 2 2 2 6 3 2" xfId="14704" xr:uid="{1472AED6-4CDB-4659-973E-6DD7466BA221}"/>
    <cellStyle name="Comma 4 2 2 2 2 6 4" xfId="10486" xr:uid="{3ED461C1-0603-4DE1-B0A2-AE9F20940548}"/>
    <cellStyle name="Comma 4 2 2 2 2 7" xfId="2383" xr:uid="{00000000-0005-0000-0000-0000CD070000}"/>
    <cellStyle name="Comma 4 2 2 2 2 7 2" xfId="6667" xr:uid="{00000000-0005-0000-0000-0000CE070000}"/>
    <cellStyle name="Comma 4 2 2 2 2 7 2 2" xfId="15117" xr:uid="{51DA27C4-5F51-4152-82AA-B05E52D47530}"/>
    <cellStyle name="Comma 4 2 2 2 2 7 3" xfId="10899" xr:uid="{FEAF84A4-3E54-4D84-9618-150C64A9EF73}"/>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5C4B134D-4902-4637-9BB6-98071DDD2041}"/>
    <cellStyle name="Comma 4 2 2 2 2 9 3" xfId="11216" xr:uid="{E8231468-6FAE-489C-8CF0-32CB017C88AE}"/>
    <cellStyle name="Comma 4 2 2 2 3" xfId="131" xr:uid="{00000000-0005-0000-0000-0000D2070000}"/>
    <cellStyle name="Comma 4 2 2 2 3 10" xfId="8835" xr:uid="{D21BB2DD-2E52-411D-8471-740BBFE5DF21}"/>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EABC726F-5C9D-4E50-9FA3-F06FC86A3807}"/>
    <cellStyle name="Comma 4 2 2 2 3 2 2 3" xfId="11394" xr:uid="{81CB9E81-5A50-4E85-BF33-9A2473965237}"/>
    <cellStyle name="Comma 4 2 2 2 3 2 3" xfId="5017" xr:uid="{00000000-0005-0000-0000-0000D6070000}"/>
    <cellStyle name="Comma 4 2 2 2 3 2 3 2" xfId="13467" xr:uid="{731F8E0F-D5A3-48B5-A3D9-1FEF9338FE57}"/>
    <cellStyle name="Comma 4 2 2 2 3 2 4" xfId="9249" xr:uid="{238F67F3-3F21-44A3-9F66-E0DC06064ABF}"/>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C7FF2A30-0176-4010-985E-B3EA013C8C32}"/>
    <cellStyle name="Comma 4 2 2 2 3 3 2 3" xfId="11807" xr:uid="{5E6494BD-1D96-4812-8D8B-2E74066879A7}"/>
    <cellStyle name="Comma 4 2 2 2 3 3 3" xfId="5430" xr:uid="{00000000-0005-0000-0000-0000DA070000}"/>
    <cellStyle name="Comma 4 2 2 2 3 3 3 2" xfId="13880" xr:uid="{E13D5937-8392-4482-B4A0-A8C8A5566673}"/>
    <cellStyle name="Comma 4 2 2 2 3 3 4" xfId="9662" xr:uid="{F967C319-CB15-42FC-A5F0-9C26CDCACC77}"/>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C734C0A8-22F4-4013-9E7A-91913E9B123D}"/>
    <cellStyle name="Comma 4 2 2 2 3 4 2 3" xfId="12220" xr:uid="{3EF0920E-0FAB-4A6B-9579-6CEC79C8736C}"/>
    <cellStyle name="Comma 4 2 2 2 3 4 3" xfId="5843" xr:uid="{00000000-0005-0000-0000-0000DE070000}"/>
    <cellStyle name="Comma 4 2 2 2 3 4 3 2" xfId="14293" xr:uid="{DA26D4A5-E488-4C19-A643-9125D79F6A15}"/>
    <cellStyle name="Comma 4 2 2 2 3 4 4" xfId="10075" xr:uid="{EA4D0014-ED22-4B16-BC2C-F2E7B5802AFB}"/>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16291990-BE0E-4A96-8A0B-B0ECB24A2268}"/>
    <cellStyle name="Comma 4 2 2 2 3 5 2 3" xfId="12633" xr:uid="{B055A869-AABF-4122-BE11-44621EE53536}"/>
    <cellStyle name="Comma 4 2 2 2 3 5 3" xfId="6256" xr:uid="{00000000-0005-0000-0000-0000E2070000}"/>
    <cellStyle name="Comma 4 2 2 2 3 5 3 2" xfId="14706" xr:uid="{035291D7-203E-4BD0-A3EC-A68F373D590B}"/>
    <cellStyle name="Comma 4 2 2 2 3 5 4" xfId="10488" xr:uid="{5ADA794C-35A6-42E6-9CE1-E1A5F2781BE2}"/>
    <cellStyle name="Comma 4 2 2 2 3 6" xfId="2385" xr:uid="{00000000-0005-0000-0000-0000E3070000}"/>
    <cellStyle name="Comma 4 2 2 2 3 6 2" xfId="6669" xr:uid="{00000000-0005-0000-0000-0000E4070000}"/>
    <cellStyle name="Comma 4 2 2 2 3 6 2 2" xfId="15119" xr:uid="{7D4925E3-B770-4246-B72C-6AFBDC567082}"/>
    <cellStyle name="Comma 4 2 2 2 3 6 3" xfId="10901" xr:uid="{1433731C-FA6C-4DBF-BEF1-EF8372709537}"/>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14ED7DF8-E0BB-4CFB-AD0D-C774312DEA9F}"/>
    <cellStyle name="Comma 4 2 2 2 3 8 3" xfId="11218" xr:uid="{B76294D2-BA4C-4DA3-9A70-3B8ADF5C37E0}"/>
    <cellStyle name="Comma 4 2 2 2 3 9" xfId="4603" xr:uid="{00000000-0005-0000-0000-0000E8070000}"/>
    <cellStyle name="Comma 4 2 2 2 3 9 2" xfId="13053" xr:uid="{EA42CB9A-6F38-4721-BF33-05B6666B05CF}"/>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89FCE2B6-6642-48FB-8950-EDF36A84672E}"/>
    <cellStyle name="Comma 4 2 2 2 4 2 3" xfId="11391" xr:uid="{59772BE6-5F21-46DC-9E6B-07D0064576A7}"/>
    <cellStyle name="Comma 4 2 2 2 4 3" xfId="5014" xr:uid="{00000000-0005-0000-0000-0000EC070000}"/>
    <cellStyle name="Comma 4 2 2 2 4 3 2" xfId="13464" xr:uid="{B4338EB0-91E3-4170-92F8-23BAA9DCB45B}"/>
    <cellStyle name="Comma 4 2 2 2 4 4" xfId="9246" xr:uid="{3029D320-42FE-4585-85E8-C2849CAF7556}"/>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EF9EFAA0-5C44-489D-A2CE-C584F95E9837}"/>
    <cellStyle name="Comma 4 2 2 2 5 2 3" xfId="11804" xr:uid="{9A1001DF-5EFD-4198-844F-C2F7C6190393}"/>
    <cellStyle name="Comma 4 2 2 2 5 3" xfId="5427" xr:uid="{00000000-0005-0000-0000-0000F0070000}"/>
    <cellStyle name="Comma 4 2 2 2 5 3 2" xfId="13877" xr:uid="{743AFB9D-7186-4540-92A2-475EB1A5DFCC}"/>
    <cellStyle name="Comma 4 2 2 2 5 4" xfId="9659" xr:uid="{45A1E387-463D-4B7F-A9B6-94D2A5E38BC5}"/>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D5A0A862-6CE3-4660-8759-3F4D3C85905B}"/>
    <cellStyle name="Comma 4 2 2 2 6 2 3" xfId="12217" xr:uid="{C736DDA1-A5F5-4E47-9B2C-6797A32FB093}"/>
    <cellStyle name="Comma 4 2 2 2 6 3" xfId="5840" xr:uid="{00000000-0005-0000-0000-0000F4070000}"/>
    <cellStyle name="Comma 4 2 2 2 6 3 2" xfId="14290" xr:uid="{3E8749EF-D9CA-4CC4-9CC8-49C3824F17DA}"/>
    <cellStyle name="Comma 4 2 2 2 6 4" xfId="10072" xr:uid="{77E73C8B-46BE-4A7B-AB43-E82B0042056A}"/>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CA528F03-2081-4C4F-9883-D496746388E5}"/>
    <cellStyle name="Comma 4 2 2 2 7 2 3" xfId="12630" xr:uid="{14D23065-B98D-469B-A5CF-2AA2B36A1C3D}"/>
    <cellStyle name="Comma 4 2 2 2 7 3" xfId="6253" xr:uid="{00000000-0005-0000-0000-0000F8070000}"/>
    <cellStyle name="Comma 4 2 2 2 7 3 2" xfId="14703" xr:uid="{BC3B0691-D108-4074-9061-2A1EBE70CAC5}"/>
    <cellStyle name="Comma 4 2 2 2 7 4" xfId="10485" xr:uid="{AD2BFF80-D9C7-4BA7-98A6-B52A28945597}"/>
    <cellStyle name="Comma 4 2 2 2 8" xfId="2382" xr:uid="{00000000-0005-0000-0000-0000F9070000}"/>
    <cellStyle name="Comma 4 2 2 2 8 2" xfId="6666" xr:uid="{00000000-0005-0000-0000-0000FA070000}"/>
    <cellStyle name="Comma 4 2 2 2 8 2 2" xfId="15116" xr:uid="{27CF7A1B-67DC-4B92-997C-63498C1B96F2}"/>
    <cellStyle name="Comma 4 2 2 2 8 3" xfId="10898" xr:uid="{23E2508A-72AD-4A30-8045-92FA31AC4E10}"/>
    <cellStyle name="Comma 4 2 2 2 9" xfId="2381" xr:uid="{00000000-0005-0000-0000-0000FB070000}"/>
    <cellStyle name="Comma 4 2 2 3" xfId="132" xr:uid="{00000000-0005-0000-0000-0000FC070000}"/>
    <cellStyle name="Comma 4 2 2 3 10" xfId="4604" xr:uid="{00000000-0005-0000-0000-0000FD070000}"/>
    <cellStyle name="Comma 4 2 2 3 10 2" xfId="13054" xr:uid="{E5556EB7-E807-4087-8698-AC37D8BC564C}"/>
    <cellStyle name="Comma 4 2 2 3 11" xfId="8836" xr:uid="{168902E0-7E08-416E-A048-83FDE82487EB}"/>
    <cellStyle name="Comma 4 2 2 3 2" xfId="133" xr:uid="{00000000-0005-0000-0000-0000FE070000}"/>
    <cellStyle name="Comma 4 2 2 3 2 10" xfId="8837" xr:uid="{B2D5F44A-4654-48DA-A9A7-4C488B06B2B0}"/>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C1AAA4AB-603B-4977-B89B-B93F79438793}"/>
    <cellStyle name="Comma 4 2 2 3 2 2 2 3" xfId="11396" xr:uid="{592E6B14-E36F-44A3-9B9D-CA3967EB1779}"/>
    <cellStyle name="Comma 4 2 2 3 2 2 3" xfId="5019" xr:uid="{00000000-0005-0000-0000-000002080000}"/>
    <cellStyle name="Comma 4 2 2 3 2 2 3 2" xfId="13469" xr:uid="{FAEA5C0D-C599-40B9-A207-678A1406C17F}"/>
    <cellStyle name="Comma 4 2 2 3 2 2 4" xfId="9251" xr:uid="{A1C5429A-A83C-4FBD-8125-644F052CB000}"/>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EE6EBFE7-25F2-4578-BD44-BA855A824E22}"/>
    <cellStyle name="Comma 4 2 2 3 2 3 2 3" xfId="11809" xr:uid="{5BCDECE0-2A8D-4EF0-A819-292E0FCAB21A}"/>
    <cellStyle name="Comma 4 2 2 3 2 3 3" xfId="5432" xr:uid="{00000000-0005-0000-0000-000006080000}"/>
    <cellStyle name="Comma 4 2 2 3 2 3 3 2" xfId="13882" xr:uid="{AFD19563-27A7-4A95-8EDD-817B6FF87D71}"/>
    <cellStyle name="Comma 4 2 2 3 2 3 4" xfId="9664" xr:uid="{2FCC2C6A-72DE-40AD-B431-13DA029871C2}"/>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ED07AE07-E0CF-4DF2-AE90-5142A51B1134}"/>
    <cellStyle name="Comma 4 2 2 3 2 4 2 3" xfId="12222" xr:uid="{C499DC55-1B7B-4BA5-8263-1A5080056556}"/>
    <cellStyle name="Comma 4 2 2 3 2 4 3" xfId="5845" xr:uid="{00000000-0005-0000-0000-00000A080000}"/>
    <cellStyle name="Comma 4 2 2 3 2 4 3 2" xfId="14295" xr:uid="{FB8A15F5-EB65-4C77-99B6-EE05DA88AAE2}"/>
    <cellStyle name="Comma 4 2 2 3 2 4 4" xfId="10077" xr:uid="{B59B9BD3-FE43-48AB-ADAD-E0C2884DA1E6}"/>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D5886D7C-89A4-438A-8546-135E86D2DA0F}"/>
    <cellStyle name="Comma 4 2 2 3 2 5 2 3" xfId="12635" xr:uid="{D8F58D5F-2776-4480-B1B4-AD950ABB96FA}"/>
    <cellStyle name="Comma 4 2 2 3 2 5 3" xfId="6258" xr:uid="{00000000-0005-0000-0000-00000E080000}"/>
    <cellStyle name="Comma 4 2 2 3 2 5 3 2" xfId="14708" xr:uid="{30D682B5-0BFE-445A-A66D-393E428DF99E}"/>
    <cellStyle name="Comma 4 2 2 3 2 5 4" xfId="10490" xr:uid="{07DB9957-BAA6-4C8F-BB62-6CDA5512C6C5}"/>
    <cellStyle name="Comma 4 2 2 3 2 6" xfId="2387" xr:uid="{00000000-0005-0000-0000-00000F080000}"/>
    <cellStyle name="Comma 4 2 2 3 2 6 2" xfId="6671" xr:uid="{00000000-0005-0000-0000-000010080000}"/>
    <cellStyle name="Comma 4 2 2 3 2 6 2 2" xfId="15121" xr:uid="{4AA2A878-7883-4FCB-8BA8-8CC159F6510B}"/>
    <cellStyle name="Comma 4 2 2 3 2 6 3" xfId="10903" xr:uid="{BBDD1AD0-23F7-4441-8FD2-CAD022AA8718}"/>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C3ABC76F-93DB-4557-9F02-50AE660550B4}"/>
    <cellStyle name="Comma 4 2 2 3 2 8 3" xfId="11220" xr:uid="{262C5209-9528-41BB-B353-2BF636AD687C}"/>
    <cellStyle name="Comma 4 2 2 3 2 9" xfId="4605" xr:uid="{00000000-0005-0000-0000-000014080000}"/>
    <cellStyle name="Comma 4 2 2 3 2 9 2" xfId="13055" xr:uid="{8F8D3751-F4B7-4C64-9BDA-A0EE6347392D}"/>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7D3D93CB-5D08-4E65-BA59-1C33E01E6397}"/>
    <cellStyle name="Comma 4 2 2 3 3 2 3" xfId="11395" xr:uid="{A7C11B9F-44EF-4DE2-B14C-A90DDD8A4C26}"/>
    <cellStyle name="Comma 4 2 2 3 3 3" xfId="5018" xr:uid="{00000000-0005-0000-0000-000018080000}"/>
    <cellStyle name="Comma 4 2 2 3 3 3 2" xfId="13468" xr:uid="{667FD4D3-45E8-4A6F-A889-B9F7958EE006}"/>
    <cellStyle name="Comma 4 2 2 3 3 4" xfId="9250" xr:uid="{E3366B8E-423F-429B-A074-3A1A86E145E8}"/>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10A2A242-06AC-4F82-BB4A-2A2CE7486B95}"/>
    <cellStyle name="Comma 4 2 2 3 4 2 3" xfId="11808" xr:uid="{CE3EAFAC-9F26-4F73-B4AC-228FF31B9488}"/>
    <cellStyle name="Comma 4 2 2 3 4 3" xfId="5431" xr:uid="{00000000-0005-0000-0000-00001C080000}"/>
    <cellStyle name="Comma 4 2 2 3 4 3 2" xfId="13881" xr:uid="{7D2B1F60-61E4-47C8-BA17-A3A889535B00}"/>
    <cellStyle name="Comma 4 2 2 3 4 4" xfId="9663" xr:uid="{5CCFBC81-95B5-4320-BC6C-E02542968CC5}"/>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371EA56F-02E0-402A-8A26-CFBCCB19ECCF}"/>
    <cellStyle name="Comma 4 2 2 3 5 2 3" xfId="12221" xr:uid="{624718D7-7E6E-4FA7-9BE0-DC00EBD8B4FE}"/>
    <cellStyle name="Comma 4 2 2 3 5 3" xfId="5844" xr:uid="{00000000-0005-0000-0000-000020080000}"/>
    <cellStyle name="Comma 4 2 2 3 5 3 2" xfId="14294" xr:uid="{1F365A86-AE90-4287-B39E-8B1A101C4A8C}"/>
    <cellStyle name="Comma 4 2 2 3 5 4" xfId="10076" xr:uid="{D09B9015-5E60-48F6-96E6-277012BC45BA}"/>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9EB29287-52EA-4D6E-98F0-A5AE983AA151}"/>
    <cellStyle name="Comma 4 2 2 3 6 2 3" xfId="12634" xr:uid="{320850EA-DECA-4E00-9455-6C0F425A5A54}"/>
    <cellStyle name="Comma 4 2 2 3 6 3" xfId="6257" xr:uid="{00000000-0005-0000-0000-000024080000}"/>
    <cellStyle name="Comma 4 2 2 3 6 3 2" xfId="14707" xr:uid="{36414141-DF51-4BB3-AF17-B6D0A4DA7976}"/>
    <cellStyle name="Comma 4 2 2 3 6 4" xfId="10489" xr:uid="{BF517A2C-8466-4A6E-A15C-3874A69AD409}"/>
    <cellStyle name="Comma 4 2 2 3 7" xfId="2386" xr:uid="{00000000-0005-0000-0000-000025080000}"/>
    <cellStyle name="Comma 4 2 2 3 7 2" xfId="6670" xr:uid="{00000000-0005-0000-0000-000026080000}"/>
    <cellStyle name="Comma 4 2 2 3 7 2 2" xfId="15120" xr:uid="{C84AE0ED-EEC8-4B83-A7FC-35324DBCB1E4}"/>
    <cellStyle name="Comma 4 2 2 3 7 3" xfId="10902" xr:uid="{A736BD59-72A1-4F3D-BDCB-882313B164E4}"/>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8181A5F2-6147-40EB-B947-2F606581097F}"/>
    <cellStyle name="Comma 4 2 2 3 9 3" xfId="11219" xr:uid="{70AF11C2-E937-46DF-BF4F-A312705E0DC1}"/>
    <cellStyle name="Comma 4 2 2 4" xfId="134" xr:uid="{00000000-0005-0000-0000-00002A080000}"/>
    <cellStyle name="Comma 4 2 2 4 10" xfId="8838" xr:uid="{7A23FF73-5CED-474C-8D43-EDB81391A96A}"/>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C005089F-AABC-4DCC-94FB-C70E104786AC}"/>
    <cellStyle name="Comma 4 2 2 4 2 2 3" xfId="11397" xr:uid="{19926ED4-61BD-4470-9FB7-6281B0FD6DC1}"/>
    <cellStyle name="Comma 4 2 2 4 2 3" xfId="5020" xr:uid="{00000000-0005-0000-0000-00002E080000}"/>
    <cellStyle name="Comma 4 2 2 4 2 3 2" xfId="13470" xr:uid="{63BF0551-91A5-4301-9223-47F1C891D8D8}"/>
    <cellStyle name="Comma 4 2 2 4 2 4" xfId="9252" xr:uid="{5178F0D3-42ED-413E-9E05-54F8A5414DC7}"/>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DB9102DF-A72E-415C-B72B-36C892012AB1}"/>
    <cellStyle name="Comma 4 2 2 4 3 2 3" xfId="11810" xr:uid="{30FC265F-CE94-4F9C-A15B-AD8009F6CE6B}"/>
    <cellStyle name="Comma 4 2 2 4 3 3" xfId="5433" xr:uid="{00000000-0005-0000-0000-000032080000}"/>
    <cellStyle name="Comma 4 2 2 4 3 3 2" xfId="13883" xr:uid="{60D0F359-E28F-4F31-ABDD-9430BD0CE1AF}"/>
    <cellStyle name="Comma 4 2 2 4 3 4" xfId="9665" xr:uid="{E036A0F3-BC77-48E4-96E4-ED060A57D9BC}"/>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8964D5AA-C3DF-4085-864A-3568F9D98B37}"/>
    <cellStyle name="Comma 4 2 2 4 4 2 3" xfId="12223" xr:uid="{8F6305CD-3108-4B35-95BF-FB02B013828D}"/>
    <cellStyle name="Comma 4 2 2 4 4 3" xfId="5846" xr:uid="{00000000-0005-0000-0000-000036080000}"/>
    <cellStyle name="Comma 4 2 2 4 4 3 2" xfId="14296" xr:uid="{A42948E5-FA8A-43CE-B91D-03567A5DE444}"/>
    <cellStyle name="Comma 4 2 2 4 4 4" xfId="10078" xr:uid="{4572AF3E-7030-43D7-9179-CD2339E76BE7}"/>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53D95A1A-39B1-4583-B50C-A51453FC22BF}"/>
    <cellStyle name="Comma 4 2 2 4 5 2 3" xfId="12636" xr:uid="{34D572D4-630C-4E07-8666-BF0981A08DB9}"/>
    <cellStyle name="Comma 4 2 2 4 5 3" xfId="6259" xr:uid="{00000000-0005-0000-0000-00003A080000}"/>
    <cellStyle name="Comma 4 2 2 4 5 3 2" xfId="14709" xr:uid="{8CA38180-9C97-49C0-8297-C2CA476FA710}"/>
    <cellStyle name="Comma 4 2 2 4 5 4" xfId="10491" xr:uid="{F2DF1C42-4F35-4008-AFFE-A8F564E44836}"/>
    <cellStyle name="Comma 4 2 2 4 6" xfId="2388" xr:uid="{00000000-0005-0000-0000-00003B080000}"/>
    <cellStyle name="Comma 4 2 2 4 6 2" xfId="6672" xr:uid="{00000000-0005-0000-0000-00003C080000}"/>
    <cellStyle name="Comma 4 2 2 4 6 2 2" xfId="15122" xr:uid="{77D930AC-DABE-42F0-95AD-7E6CABD49E8B}"/>
    <cellStyle name="Comma 4 2 2 4 6 3" xfId="10904" xr:uid="{A12CDA1C-37D8-48EE-ACCA-7B8B430FE39D}"/>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E2B8A1FE-2A81-45C5-8A60-49D315D277A6}"/>
    <cellStyle name="Comma 4 2 2 4 8 3" xfId="11221" xr:uid="{C219F17D-3235-4D6B-A169-C5BE95181AA4}"/>
    <cellStyle name="Comma 4 2 2 4 9" xfId="4606" xr:uid="{00000000-0005-0000-0000-000040080000}"/>
    <cellStyle name="Comma 4 2 2 4 9 2" xfId="13056" xr:uid="{585052D5-3389-4121-91A9-0A819498673F}"/>
    <cellStyle name="Comma 4 2 2 5" xfId="135" xr:uid="{00000000-0005-0000-0000-000041080000}"/>
    <cellStyle name="Comma 4 2 2 5 10" xfId="8839" xr:uid="{BC318D85-05D1-4BA9-8D01-52B42E1D8DB2}"/>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33ADDED1-620E-4DA6-8F08-94FB97FFE572}"/>
    <cellStyle name="Comma 4 2 2 5 2 2 3" xfId="11398" xr:uid="{D6E87841-E88D-47FB-B885-68B6F3336811}"/>
    <cellStyle name="Comma 4 2 2 5 2 3" xfId="5021" xr:uid="{00000000-0005-0000-0000-000045080000}"/>
    <cellStyle name="Comma 4 2 2 5 2 3 2" xfId="13471" xr:uid="{3CFFF4B6-B5D6-4AE4-B46B-4F8142FD5C6E}"/>
    <cellStyle name="Comma 4 2 2 5 2 4" xfId="9253" xr:uid="{6D6054FB-5F03-470A-8901-AF7220BC9182}"/>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CD054D03-B892-4D18-93F0-68954545197F}"/>
    <cellStyle name="Comma 4 2 2 5 3 2 3" xfId="11811" xr:uid="{AEEDC536-9E36-420F-ABBB-5BB2B342FF42}"/>
    <cellStyle name="Comma 4 2 2 5 3 3" xfId="5434" xr:uid="{00000000-0005-0000-0000-000049080000}"/>
    <cellStyle name="Comma 4 2 2 5 3 3 2" xfId="13884" xr:uid="{D5369E39-FE80-4607-BED6-91143B8DDD4B}"/>
    <cellStyle name="Comma 4 2 2 5 3 4" xfId="9666" xr:uid="{745B66E1-65C0-4C03-B3DB-427A28C24A8F}"/>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E3161F51-4908-41DB-B753-5509DDA15055}"/>
    <cellStyle name="Comma 4 2 2 5 4 2 3" xfId="12224" xr:uid="{F22F7531-5607-4874-8AC8-D612CF6EC9CA}"/>
    <cellStyle name="Comma 4 2 2 5 4 3" xfId="5847" xr:uid="{00000000-0005-0000-0000-00004D080000}"/>
    <cellStyle name="Comma 4 2 2 5 4 3 2" xfId="14297" xr:uid="{65B00CC9-F643-4F6D-8174-0AA1F229FCA2}"/>
    <cellStyle name="Comma 4 2 2 5 4 4" xfId="10079" xr:uid="{02449B02-D9CA-4DA9-B284-5E624B818970}"/>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CD108C2C-BA02-4965-8C55-1F55FB34ACD1}"/>
    <cellStyle name="Comma 4 2 2 5 5 2 3" xfId="12637" xr:uid="{BD6E305D-9A9A-436C-A039-E0D151A3E98E}"/>
    <cellStyle name="Comma 4 2 2 5 5 3" xfId="6260" xr:uid="{00000000-0005-0000-0000-000051080000}"/>
    <cellStyle name="Comma 4 2 2 5 5 3 2" xfId="14710" xr:uid="{D83F91E5-2392-46D2-A57C-10FAC2FEA69E}"/>
    <cellStyle name="Comma 4 2 2 5 5 4" xfId="10492" xr:uid="{15782B13-F02D-4B0D-BE95-6A7E9DA1AFF9}"/>
    <cellStyle name="Comma 4 2 2 5 6" xfId="2389" xr:uid="{00000000-0005-0000-0000-000052080000}"/>
    <cellStyle name="Comma 4 2 2 5 6 2" xfId="6673" xr:uid="{00000000-0005-0000-0000-000053080000}"/>
    <cellStyle name="Comma 4 2 2 5 6 2 2" xfId="15123" xr:uid="{9D94C445-6AA7-4CA8-8B77-EBACB60F992A}"/>
    <cellStyle name="Comma 4 2 2 5 6 3" xfId="10905" xr:uid="{A2EB5394-581C-47E8-BF90-B03EF17B56AF}"/>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93239060-BC51-4A5B-9DE5-9A0723E9FBF2}"/>
    <cellStyle name="Comma 4 2 2 5 8 3" xfId="11222" xr:uid="{5D2BD61C-DDF4-4AFD-A6D2-A628A7FA1945}"/>
    <cellStyle name="Comma 4 2 2 5 9" xfId="4607" xr:uid="{00000000-0005-0000-0000-000057080000}"/>
    <cellStyle name="Comma 4 2 2 5 9 2" xfId="13057" xr:uid="{3F7389BD-17CD-452A-936B-23B8F461B63C}"/>
    <cellStyle name="Comma 4 2 3" xfId="136" xr:uid="{00000000-0005-0000-0000-000058080000}"/>
    <cellStyle name="Comma 4 2 3 10" xfId="2768" xr:uid="{00000000-0005-0000-0000-000059080000}"/>
    <cellStyle name="Comma 4 2 3 10 2" xfId="6991" xr:uid="{00000000-0005-0000-0000-00005A080000}"/>
    <cellStyle name="Comma 4 2 3 10 2 2" xfId="15441" xr:uid="{5487C9A2-69A6-431F-B533-9309C28AC526}"/>
    <cellStyle name="Comma 4 2 3 10 3" xfId="11223" xr:uid="{529DE956-3ABD-469E-912C-0A71B78BFC28}"/>
    <cellStyle name="Comma 4 2 3 11" xfId="4608" xr:uid="{00000000-0005-0000-0000-00005B080000}"/>
    <cellStyle name="Comma 4 2 3 11 2" xfId="13058" xr:uid="{B799D1AA-4AA0-4E04-A155-FB8E97C15386}"/>
    <cellStyle name="Comma 4 2 3 12" xfId="8840" xr:uid="{B9E49168-0901-4577-8274-E32C91A288AE}"/>
    <cellStyle name="Comma 4 2 3 2" xfId="137" xr:uid="{00000000-0005-0000-0000-00005C080000}"/>
    <cellStyle name="Comma 4 2 3 2 10" xfId="4609" xr:uid="{00000000-0005-0000-0000-00005D080000}"/>
    <cellStyle name="Comma 4 2 3 2 10 2" xfId="13059" xr:uid="{BF44E76D-217F-4ADE-A5AC-8EDA5C5956EB}"/>
    <cellStyle name="Comma 4 2 3 2 11" xfId="8841" xr:uid="{9A9C8197-84C0-4D1A-8CC1-C1173C4F9F2D}"/>
    <cellStyle name="Comma 4 2 3 2 2" xfId="138" xr:uid="{00000000-0005-0000-0000-00005E080000}"/>
    <cellStyle name="Comma 4 2 3 2 2 10" xfId="8842" xr:uid="{C6240844-1A8B-48D1-B942-90CF91BC579A}"/>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C3502E66-F323-4250-8EF1-CDB13ADAE44B}"/>
    <cellStyle name="Comma 4 2 3 2 2 2 2 3" xfId="11401" xr:uid="{2473D438-024A-46C9-BEBB-F0B63401A1E3}"/>
    <cellStyle name="Comma 4 2 3 2 2 2 3" xfId="5024" xr:uid="{00000000-0005-0000-0000-000062080000}"/>
    <cellStyle name="Comma 4 2 3 2 2 2 3 2" xfId="13474" xr:uid="{659D1C94-A668-41F7-9B8D-AC135DC0FEB9}"/>
    <cellStyle name="Comma 4 2 3 2 2 2 4" xfId="9256" xr:uid="{CF50181B-897A-443B-AAAF-A76AB204B6AB}"/>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1DCCC153-0AE6-45B5-AA1D-BB660CE82C4C}"/>
    <cellStyle name="Comma 4 2 3 2 2 3 2 3" xfId="11814" xr:uid="{FFE3D66A-EAEF-4839-999D-48A3DBB531E4}"/>
    <cellStyle name="Comma 4 2 3 2 2 3 3" xfId="5437" xr:uid="{00000000-0005-0000-0000-000066080000}"/>
    <cellStyle name="Comma 4 2 3 2 2 3 3 2" xfId="13887" xr:uid="{C41784AE-1741-406D-81CA-819779FC94E4}"/>
    <cellStyle name="Comma 4 2 3 2 2 3 4" xfId="9669" xr:uid="{FFD4092A-411A-41BD-9831-8A417E1FBC14}"/>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B78EA8A4-C5AB-46BA-88DB-222B854CC5D1}"/>
    <cellStyle name="Comma 4 2 3 2 2 4 2 3" xfId="12227" xr:uid="{B15581C6-AFF0-4843-B5AF-DBEBC61A7BCF}"/>
    <cellStyle name="Comma 4 2 3 2 2 4 3" xfId="5850" xr:uid="{00000000-0005-0000-0000-00006A080000}"/>
    <cellStyle name="Comma 4 2 3 2 2 4 3 2" xfId="14300" xr:uid="{D85B649B-4087-42B1-8570-2FD177D4827C}"/>
    <cellStyle name="Comma 4 2 3 2 2 4 4" xfId="10082" xr:uid="{3023A0A3-DF5C-4169-B157-7EE0D652255E}"/>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20C69DDE-6802-44CF-B5D1-7774B48E9775}"/>
    <cellStyle name="Comma 4 2 3 2 2 5 2 3" xfId="12640" xr:uid="{E040C4AF-3C4F-4670-9E18-DEED1844DAA9}"/>
    <cellStyle name="Comma 4 2 3 2 2 5 3" xfId="6263" xr:uid="{00000000-0005-0000-0000-00006E080000}"/>
    <cellStyle name="Comma 4 2 3 2 2 5 3 2" xfId="14713" xr:uid="{796BF058-78BA-4310-9BC4-4244E5B4001C}"/>
    <cellStyle name="Comma 4 2 3 2 2 5 4" xfId="10495" xr:uid="{CF9D8C2E-23B2-4240-A680-02FE6358B446}"/>
    <cellStyle name="Comma 4 2 3 2 2 6" xfId="2392" xr:uid="{00000000-0005-0000-0000-00006F080000}"/>
    <cellStyle name="Comma 4 2 3 2 2 6 2" xfId="6676" xr:uid="{00000000-0005-0000-0000-000070080000}"/>
    <cellStyle name="Comma 4 2 3 2 2 6 2 2" xfId="15126" xr:uid="{3329EBC9-40A5-4EE8-BD9F-A803C83322F2}"/>
    <cellStyle name="Comma 4 2 3 2 2 6 3" xfId="10908" xr:uid="{828B3181-B664-488D-9833-3C3BCB53ACF0}"/>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B6E1603A-42C6-4E50-B7E9-7D7967966E2E}"/>
    <cellStyle name="Comma 4 2 3 2 2 8 3" xfId="11225" xr:uid="{9781CACB-0F01-4C70-9EC6-BFFB3BABD701}"/>
    <cellStyle name="Comma 4 2 3 2 2 9" xfId="4610" xr:uid="{00000000-0005-0000-0000-000074080000}"/>
    <cellStyle name="Comma 4 2 3 2 2 9 2" xfId="13060" xr:uid="{624DC5D4-BD02-4EE3-929D-0201DBDF852D}"/>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39EEED56-924A-42D4-82D6-F5C6067E888C}"/>
    <cellStyle name="Comma 4 2 3 2 3 2 3" xfId="11400" xr:uid="{5F4A52C3-783E-4108-92FF-6C59CAF99153}"/>
    <cellStyle name="Comma 4 2 3 2 3 3" xfId="5023" xr:uid="{00000000-0005-0000-0000-000078080000}"/>
    <cellStyle name="Comma 4 2 3 2 3 3 2" xfId="13473" xr:uid="{21ACC330-5092-4254-A39B-68C6BFE15F27}"/>
    <cellStyle name="Comma 4 2 3 2 3 4" xfId="9255" xr:uid="{495C919E-CFBB-49C0-BBE7-F2850ECC0114}"/>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6719E360-38E4-472A-92FB-C04FEA0D84BD}"/>
    <cellStyle name="Comma 4 2 3 2 4 2 3" xfId="11813" xr:uid="{E054BC11-24D4-4DA9-8ABC-E7CCCCB5AEBF}"/>
    <cellStyle name="Comma 4 2 3 2 4 3" xfId="5436" xr:uid="{00000000-0005-0000-0000-00007C080000}"/>
    <cellStyle name="Comma 4 2 3 2 4 3 2" xfId="13886" xr:uid="{5DB0D640-5D3C-4BEF-BEBA-D9FB9EA2B4F8}"/>
    <cellStyle name="Comma 4 2 3 2 4 4" xfId="9668" xr:uid="{7B9CA2B6-4CB6-47FB-8396-BEFA2F8024FD}"/>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C01BC662-7E1A-405E-8E49-63187F92A351}"/>
    <cellStyle name="Comma 4 2 3 2 5 2 3" xfId="12226" xr:uid="{551EBEFC-CEF6-418A-883F-42A3892B21AF}"/>
    <cellStyle name="Comma 4 2 3 2 5 3" xfId="5849" xr:uid="{00000000-0005-0000-0000-000080080000}"/>
    <cellStyle name="Comma 4 2 3 2 5 3 2" xfId="14299" xr:uid="{34D4153B-8B1A-46D3-AF2B-04332A132264}"/>
    <cellStyle name="Comma 4 2 3 2 5 4" xfId="10081" xr:uid="{13499344-3D36-4E09-B542-CC46BFD4BF3F}"/>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BB397DF8-B36D-4CBF-9F3A-91B843EABD16}"/>
    <cellStyle name="Comma 4 2 3 2 6 2 3" xfId="12639" xr:uid="{8D7C2680-B7FF-4ECB-B914-FDB58FAE1C7D}"/>
    <cellStyle name="Comma 4 2 3 2 6 3" xfId="6262" xr:uid="{00000000-0005-0000-0000-000084080000}"/>
    <cellStyle name="Comma 4 2 3 2 6 3 2" xfId="14712" xr:uid="{70F8ED3E-ED2D-4F1F-BEA4-332193BB6FD4}"/>
    <cellStyle name="Comma 4 2 3 2 6 4" xfId="10494" xr:uid="{2D1130DB-8D59-4DAE-BC07-912B67FD212F}"/>
    <cellStyle name="Comma 4 2 3 2 7" xfId="2391" xr:uid="{00000000-0005-0000-0000-000085080000}"/>
    <cellStyle name="Comma 4 2 3 2 7 2" xfId="6675" xr:uid="{00000000-0005-0000-0000-000086080000}"/>
    <cellStyle name="Comma 4 2 3 2 7 2 2" xfId="15125" xr:uid="{BB5D3103-B347-42F8-977B-98735F71344B}"/>
    <cellStyle name="Comma 4 2 3 2 7 3" xfId="10907" xr:uid="{792648C8-E01C-434A-8549-BD7362B33B6B}"/>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A14F468F-BCFA-4557-95D9-C712C1A6E757}"/>
    <cellStyle name="Comma 4 2 3 2 9 3" xfId="11224" xr:uid="{BC717DFC-2067-47C3-8E2D-C0F8F342D5A9}"/>
    <cellStyle name="Comma 4 2 3 3" xfId="139" xr:uid="{00000000-0005-0000-0000-00008A080000}"/>
    <cellStyle name="Comma 4 2 3 3 10" xfId="8843" xr:uid="{03B8190C-27E5-45CC-876E-CEC78A0EA03C}"/>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CC316705-4B58-4050-8303-B87F5E65E202}"/>
    <cellStyle name="Comma 4 2 3 3 2 2 3" xfId="11402" xr:uid="{D6C69479-5B4A-41DB-8F02-BEF8CB54CA1F}"/>
    <cellStyle name="Comma 4 2 3 3 2 3" xfId="5025" xr:uid="{00000000-0005-0000-0000-00008E080000}"/>
    <cellStyle name="Comma 4 2 3 3 2 3 2" xfId="13475" xr:uid="{ED1E82EB-30EE-4D06-8307-A0C70984F08C}"/>
    <cellStyle name="Comma 4 2 3 3 2 4" xfId="9257" xr:uid="{F3884C87-3978-4FFA-B086-31D4CC06453B}"/>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536BE853-026E-4606-8DE7-D6B14AD59E80}"/>
    <cellStyle name="Comma 4 2 3 3 3 2 3" xfId="11815" xr:uid="{5F6E592D-224A-4B11-84E5-4F5E74EFB8C3}"/>
    <cellStyle name="Comma 4 2 3 3 3 3" xfId="5438" xr:uid="{00000000-0005-0000-0000-000092080000}"/>
    <cellStyle name="Comma 4 2 3 3 3 3 2" xfId="13888" xr:uid="{57EBFC77-1AEA-4085-8205-090E5711FA60}"/>
    <cellStyle name="Comma 4 2 3 3 3 4" xfId="9670" xr:uid="{407433E7-69E3-4213-85B4-17AAD3BD5A1F}"/>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CF1C05B5-760A-4E77-BBEE-8FCC1BA2A81C}"/>
    <cellStyle name="Comma 4 2 3 3 4 2 3" xfId="12228" xr:uid="{125A6218-E8D0-4089-8DA2-897DCF3DFE2D}"/>
    <cellStyle name="Comma 4 2 3 3 4 3" xfId="5851" xr:uid="{00000000-0005-0000-0000-000096080000}"/>
    <cellStyle name="Comma 4 2 3 3 4 3 2" xfId="14301" xr:uid="{F8A717B2-876A-4AE1-ACA1-BDDF9EF30A7C}"/>
    <cellStyle name="Comma 4 2 3 3 4 4" xfId="10083" xr:uid="{00B1FF81-36D0-4DD9-88F3-E75CFA5C9CA6}"/>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1C0AD6C7-1ED4-4D76-B325-0D4981AB0046}"/>
    <cellStyle name="Comma 4 2 3 3 5 2 3" xfId="12641" xr:uid="{A68138E8-7862-43CE-8EED-7B5E6033B767}"/>
    <cellStyle name="Comma 4 2 3 3 5 3" xfId="6264" xr:uid="{00000000-0005-0000-0000-00009A080000}"/>
    <cellStyle name="Comma 4 2 3 3 5 3 2" xfId="14714" xr:uid="{B8D940EF-36CF-4F0F-A64D-987FF8B3CC06}"/>
    <cellStyle name="Comma 4 2 3 3 5 4" xfId="10496" xr:uid="{D643D97C-B079-4C6E-AC30-7F9D8CFB94DA}"/>
    <cellStyle name="Comma 4 2 3 3 6" xfId="2393" xr:uid="{00000000-0005-0000-0000-00009B080000}"/>
    <cellStyle name="Comma 4 2 3 3 6 2" xfId="6677" xr:uid="{00000000-0005-0000-0000-00009C080000}"/>
    <cellStyle name="Comma 4 2 3 3 6 2 2" xfId="15127" xr:uid="{DD6824DB-CEA2-449A-81A6-95A4926E3407}"/>
    <cellStyle name="Comma 4 2 3 3 6 3" xfId="10909" xr:uid="{496CC6B8-DBF6-42B1-A430-30B8F1EB7EED}"/>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73652E10-DA0C-4395-B5D5-1E7388FC011D}"/>
    <cellStyle name="Comma 4 2 3 3 8 3" xfId="11226" xr:uid="{5707DDE0-DD0D-4D08-813C-2B3F8D39D09B}"/>
    <cellStyle name="Comma 4 2 3 3 9" xfId="4611" xr:uid="{00000000-0005-0000-0000-0000A0080000}"/>
    <cellStyle name="Comma 4 2 3 3 9 2" xfId="13061" xr:uid="{2EE2E954-ABC2-4A03-A41F-1D6877738C2D}"/>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434F7764-38B5-48CD-87DD-99CE2CDC6C47}"/>
    <cellStyle name="Comma 4 2 3 4 2 3" xfId="11399" xr:uid="{A8AA4C13-3DBD-4E23-9F75-9177D8783F87}"/>
    <cellStyle name="Comma 4 2 3 4 3" xfId="5022" xr:uid="{00000000-0005-0000-0000-0000A4080000}"/>
    <cellStyle name="Comma 4 2 3 4 3 2" xfId="13472" xr:uid="{E37F5F44-7736-4201-A8E9-3E6CA737565F}"/>
    <cellStyle name="Comma 4 2 3 4 4" xfId="9254" xr:uid="{5FF0F5A7-F286-4BA7-A49D-ADDAE156C492}"/>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EB350C30-228F-4B7A-842C-55453C6DC618}"/>
    <cellStyle name="Comma 4 2 3 5 2 3" xfId="11812" xr:uid="{04C8DAFD-5F56-459C-AF17-03BFD0C082B2}"/>
    <cellStyle name="Comma 4 2 3 5 3" xfId="5435" xr:uid="{00000000-0005-0000-0000-0000A8080000}"/>
    <cellStyle name="Comma 4 2 3 5 3 2" xfId="13885" xr:uid="{DF4DBAB3-D9FF-4CCB-9E0C-359806B63E85}"/>
    <cellStyle name="Comma 4 2 3 5 4" xfId="9667" xr:uid="{67B44FB0-CF4D-434D-B7BD-2CC4003EFEB3}"/>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5933E3E3-2C47-4770-8D9A-F26A64A619CC}"/>
    <cellStyle name="Comma 4 2 3 6 2 3" xfId="12225" xr:uid="{56F1C0C2-46DF-44F9-A9AE-9C77FD676E8F}"/>
    <cellStyle name="Comma 4 2 3 6 3" xfId="5848" xr:uid="{00000000-0005-0000-0000-0000AC080000}"/>
    <cellStyle name="Comma 4 2 3 6 3 2" xfId="14298" xr:uid="{A2DA0866-4B51-4513-820D-92EBFEB39A4A}"/>
    <cellStyle name="Comma 4 2 3 6 4" xfId="10080" xr:uid="{4E7CEFB7-AA3D-4999-A3DF-92928552886C}"/>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F4897F90-2781-41AD-9177-0F7D62BA8258}"/>
    <cellStyle name="Comma 4 2 3 7 2 3" xfId="12638" xr:uid="{8EB7F791-409B-4F84-A843-D8A995E23536}"/>
    <cellStyle name="Comma 4 2 3 7 3" xfId="6261" xr:uid="{00000000-0005-0000-0000-0000B0080000}"/>
    <cellStyle name="Comma 4 2 3 7 3 2" xfId="14711" xr:uid="{D892D0EB-3D74-44E7-A6B8-A32B2405A47C}"/>
    <cellStyle name="Comma 4 2 3 7 4" xfId="10493" xr:uid="{94BBC2D1-16DD-43C1-9F1A-68B61111516C}"/>
    <cellStyle name="Comma 4 2 3 8" xfId="2390" xr:uid="{00000000-0005-0000-0000-0000B1080000}"/>
    <cellStyle name="Comma 4 2 3 8 2" xfId="6674" xr:uid="{00000000-0005-0000-0000-0000B2080000}"/>
    <cellStyle name="Comma 4 2 3 8 2 2" xfId="15124" xr:uid="{8ECEB390-4AB9-4BDE-9200-C4F5879DC636}"/>
    <cellStyle name="Comma 4 2 3 8 3" xfId="10906" xr:uid="{18F1DB70-6DD7-4E2E-ACDF-EAFB6A82EC44}"/>
    <cellStyle name="Comma 4 2 3 9" xfId="2373" xr:uid="{00000000-0005-0000-0000-0000B3080000}"/>
    <cellStyle name="Comma 4 2 4" xfId="140" xr:uid="{00000000-0005-0000-0000-0000B4080000}"/>
    <cellStyle name="Comma 4 2 4 10" xfId="4612" xr:uid="{00000000-0005-0000-0000-0000B5080000}"/>
    <cellStyle name="Comma 4 2 4 10 2" xfId="13062" xr:uid="{6BC6F59D-68DC-4EAC-A6FA-043791D0C3E8}"/>
    <cellStyle name="Comma 4 2 4 11" xfId="8844" xr:uid="{6A8E325C-6997-4703-B8AC-970E54031460}"/>
    <cellStyle name="Comma 4 2 4 2" xfId="141" xr:uid="{00000000-0005-0000-0000-0000B6080000}"/>
    <cellStyle name="Comma 4 2 4 2 10" xfId="8845" xr:uid="{77A18F62-2BFB-4417-8A40-115E574DEBDA}"/>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ED20AE9E-6704-47FC-ADBF-579F4A675CA5}"/>
    <cellStyle name="Comma 4 2 4 2 2 2 3" xfId="11404" xr:uid="{0296A816-F33F-45DF-990A-35ECF45A1656}"/>
    <cellStyle name="Comma 4 2 4 2 2 3" xfId="5027" xr:uid="{00000000-0005-0000-0000-0000BA080000}"/>
    <cellStyle name="Comma 4 2 4 2 2 3 2" xfId="13477" xr:uid="{614F1F62-A758-450C-AA5F-A8F5C95DB7A0}"/>
    <cellStyle name="Comma 4 2 4 2 2 4" xfId="9259" xr:uid="{D6B8DF12-CCF9-410D-9F99-DACBFBA2F9C6}"/>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B48B4F53-D806-452D-96D0-510378A0C42E}"/>
    <cellStyle name="Comma 4 2 4 2 3 2 3" xfId="11817" xr:uid="{5CFDCB1F-A965-4A58-A2EC-EC23F2E7DF9A}"/>
    <cellStyle name="Comma 4 2 4 2 3 3" xfId="5440" xr:uid="{00000000-0005-0000-0000-0000BE080000}"/>
    <cellStyle name="Comma 4 2 4 2 3 3 2" xfId="13890" xr:uid="{AF9050B1-CDEA-44EF-B645-4F54E09B02BC}"/>
    <cellStyle name="Comma 4 2 4 2 3 4" xfId="9672" xr:uid="{4A1AB465-890A-4689-A212-53A6DA122319}"/>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E0C2F8CB-79B1-4A8F-9E7A-4919764FCB52}"/>
    <cellStyle name="Comma 4 2 4 2 4 2 3" xfId="12230" xr:uid="{CF792842-F881-4F24-9B1B-5D6AF50D4A62}"/>
    <cellStyle name="Comma 4 2 4 2 4 3" xfId="5853" xr:uid="{00000000-0005-0000-0000-0000C2080000}"/>
    <cellStyle name="Comma 4 2 4 2 4 3 2" xfId="14303" xr:uid="{972DA705-43CB-41DC-A721-532CB846DA58}"/>
    <cellStyle name="Comma 4 2 4 2 4 4" xfId="10085" xr:uid="{8533216C-CB92-4F88-95EB-E25E32EC547B}"/>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B748102F-EFDE-4774-891E-F54741FE0DB8}"/>
    <cellStyle name="Comma 4 2 4 2 5 2 3" xfId="12643" xr:uid="{6CE5BAF5-AF4E-4DD4-8E01-8B12263AA85A}"/>
    <cellStyle name="Comma 4 2 4 2 5 3" xfId="6266" xr:uid="{00000000-0005-0000-0000-0000C6080000}"/>
    <cellStyle name="Comma 4 2 4 2 5 3 2" xfId="14716" xr:uid="{55CC9D34-1B35-4C12-AA39-17F9D8BEBAC3}"/>
    <cellStyle name="Comma 4 2 4 2 5 4" xfId="10498" xr:uid="{698C9104-BA66-49D6-82A5-2D310A5782B6}"/>
    <cellStyle name="Comma 4 2 4 2 6" xfId="2395" xr:uid="{00000000-0005-0000-0000-0000C7080000}"/>
    <cellStyle name="Comma 4 2 4 2 6 2" xfId="6679" xr:uid="{00000000-0005-0000-0000-0000C8080000}"/>
    <cellStyle name="Comma 4 2 4 2 6 2 2" xfId="15129" xr:uid="{E7673BAC-CED8-47F8-AEB6-539A181B2A8F}"/>
    <cellStyle name="Comma 4 2 4 2 6 3" xfId="10911" xr:uid="{D3384574-1E46-4506-9601-A41033C9A290}"/>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76FDD85A-7FD8-4195-82BC-30987AF27EF1}"/>
    <cellStyle name="Comma 4 2 4 2 8 3" xfId="11228" xr:uid="{29743587-CE53-408B-84D4-0F2745E93032}"/>
    <cellStyle name="Comma 4 2 4 2 9" xfId="4613" xr:uid="{00000000-0005-0000-0000-0000CC080000}"/>
    <cellStyle name="Comma 4 2 4 2 9 2" xfId="13063" xr:uid="{D9EF9271-236C-4634-A523-D2C1513BCC64}"/>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5FD00577-4940-4EE9-85FC-2E7B5A4CB499}"/>
    <cellStyle name="Comma 4 2 4 3 2 3" xfId="11403" xr:uid="{20143C97-4392-4EB8-A259-E894E5DD938D}"/>
    <cellStyle name="Comma 4 2 4 3 3" xfId="5026" xr:uid="{00000000-0005-0000-0000-0000D0080000}"/>
    <cellStyle name="Comma 4 2 4 3 3 2" xfId="13476" xr:uid="{B6F416E4-32FA-428C-A814-812169296FAE}"/>
    <cellStyle name="Comma 4 2 4 3 4" xfId="9258" xr:uid="{2CFEEB47-2E14-4B5C-98CD-B556322CE3B0}"/>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6284EF14-EADB-4A07-950F-E0B9CA6C003B}"/>
    <cellStyle name="Comma 4 2 4 4 2 3" xfId="11816" xr:uid="{74FFF1C4-B909-4C61-AE22-E2191C72159F}"/>
    <cellStyle name="Comma 4 2 4 4 3" xfId="5439" xr:uid="{00000000-0005-0000-0000-0000D4080000}"/>
    <cellStyle name="Comma 4 2 4 4 3 2" xfId="13889" xr:uid="{B1CD40F2-64CA-419F-A6EB-968423F27DBC}"/>
    <cellStyle name="Comma 4 2 4 4 4" xfId="9671" xr:uid="{19788FC7-1ABF-4A47-9033-C58930F87111}"/>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A6307510-D5EF-4000-B9A1-E759244B2721}"/>
    <cellStyle name="Comma 4 2 4 5 2 3" xfId="12229" xr:uid="{1A6ED971-66D5-426D-A13A-005297DFB183}"/>
    <cellStyle name="Comma 4 2 4 5 3" xfId="5852" xr:uid="{00000000-0005-0000-0000-0000D8080000}"/>
    <cellStyle name="Comma 4 2 4 5 3 2" xfId="14302" xr:uid="{A8B7E4BD-BD8A-4E49-8507-58C3CCDD9D4E}"/>
    <cellStyle name="Comma 4 2 4 5 4" xfId="10084" xr:uid="{5207435B-0098-4986-8122-8D6F9B2D910A}"/>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6BE73F17-164B-420B-AE1B-ABF54340A019}"/>
    <cellStyle name="Comma 4 2 4 6 2 3" xfId="12642" xr:uid="{80B339F0-AB4A-4E2B-B5CA-14AABB64C4B4}"/>
    <cellStyle name="Comma 4 2 4 6 3" xfId="6265" xr:uid="{00000000-0005-0000-0000-0000DC080000}"/>
    <cellStyle name="Comma 4 2 4 6 3 2" xfId="14715" xr:uid="{FEE90134-8270-48C4-966E-156AD4297477}"/>
    <cellStyle name="Comma 4 2 4 6 4" xfId="10497" xr:uid="{B6A511F5-56AF-4CD0-9DAC-9AC7529356F9}"/>
    <cellStyle name="Comma 4 2 4 7" xfId="2394" xr:uid="{00000000-0005-0000-0000-0000DD080000}"/>
    <cellStyle name="Comma 4 2 4 7 2" xfId="6678" xr:uid="{00000000-0005-0000-0000-0000DE080000}"/>
    <cellStyle name="Comma 4 2 4 7 2 2" xfId="15128" xr:uid="{4B633461-27BE-41B6-870A-3EE608666A25}"/>
    <cellStyle name="Comma 4 2 4 7 3" xfId="10910" xr:uid="{B246FB43-BD8E-43C3-91D0-60B29F8D0901}"/>
    <cellStyle name="Comma 4 2 4 8" xfId="2369" xr:uid="{00000000-0005-0000-0000-0000DF080000}"/>
    <cellStyle name="Comma 4 2 4 9" xfId="2772" xr:uid="{00000000-0005-0000-0000-0000E0080000}"/>
    <cellStyle name="Comma 4 2 4 9 2" xfId="6995" xr:uid="{00000000-0005-0000-0000-0000E1080000}"/>
    <cellStyle name="Comma 4 2 4 9 2 2" xfId="15445" xr:uid="{D9AAE7CB-ED8B-4680-A8B1-CF8C50A3A082}"/>
    <cellStyle name="Comma 4 2 4 9 3" xfId="11227" xr:uid="{A132B69C-BFE5-4E0F-BD36-40E637AA5E37}"/>
    <cellStyle name="Comma 4 2 5" xfId="142" xr:uid="{00000000-0005-0000-0000-0000E2080000}"/>
    <cellStyle name="Comma 4 2 5 10" xfId="8846" xr:uid="{C9238D35-3F2A-4120-A9F2-94047B55D594}"/>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3C1735D8-58B9-40B0-BCA3-B3227CDB1A9C}"/>
    <cellStyle name="Comma 4 2 5 2 2 3" xfId="11405" xr:uid="{8683DB1F-7FD7-468F-9EFF-E5C4F7FD7406}"/>
    <cellStyle name="Comma 4 2 5 2 3" xfId="5028" xr:uid="{00000000-0005-0000-0000-0000E6080000}"/>
    <cellStyle name="Comma 4 2 5 2 3 2" xfId="13478" xr:uid="{855902A5-56C5-4DC4-BF90-FC20E26F674B}"/>
    <cellStyle name="Comma 4 2 5 2 4" xfId="9260" xr:uid="{3CFBE057-BBA2-403E-9CA7-5150B412A7E5}"/>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01823F8C-EDE4-4E88-B054-86CD7445F7B3}"/>
    <cellStyle name="Comma 4 2 5 3 2 3" xfId="11818" xr:uid="{8F96DE1E-CC20-41E0-A7B8-0A7A87862540}"/>
    <cellStyle name="Comma 4 2 5 3 3" xfId="5441" xr:uid="{00000000-0005-0000-0000-0000EA080000}"/>
    <cellStyle name="Comma 4 2 5 3 3 2" xfId="13891" xr:uid="{281E9E29-2D98-4B72-939B-C77EB9559FB2}"/>
    <cellStyle name="Comma 4 2 5 3 4" xfId="9673" xr:uid="{BFA83695-5C0C-47A4-9DF9-9EF4919CAAB0}"/>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7B442B96-5083-40F7-9A23-1A4D8A144C09}"/>
    <cellStyle name="Comma 4 2 5 4 2 3" xfId="12231" xr:uid="{B64DAB2B-11D0-43C5-A9A8-011C337E29C0}"/>
    <cellStyle name="Comma 4 2 5 4 3" xfId="5854" xr:uid="{00000000-0005-0000-0000-0000EE080000}"/>
    <cellStyle name="Comma 4 2 5 4 3 2" xfId="14304" xr:uid="{AFF07BB7-A904-47BE-84E8-955115F4EB7E}"/>
    <cellStyle name="Comma 4 2 5 4 4" xfId="10086" xr:uid="{37F417A7-6C54-4032-9888-C17502F499EC}"/>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267FAD5E-EA8A-4DF7-9DE6-3C46B0A6BA28}"/>
    <cellStyle name="Comma 4 2 5 5 2 3" xfId="12644" xr:uid="{B24B3BF7-94D1-4292-A329-E57997315DE6}"/>
    <cellStyle name="Comma 4 2 5 5 3" xfId="6267" xr:uid="{00000000-0005-0000-0000-0000F2080000}"/>
    <cellStyle name="Comma 4 2 5 5 3 2" xfId="14717" xr:uid="{E4B2115C-1DCC-4076-9A64-D889DC4EE48C}"/>
    <cellStyle name="Comma 4 2 5 5 4" xfId="10499" xr:uid="{12C200DA-8116-4047-9F94-A8743E7F4C46}"/>
    <cellStyle name="Comma 4 2 5 6" xfId="2396" xr:uid="{00000000-0005-0000-0000-0000F3080000}"/>
    <cellStyle name="Comma 4 2 5 6 2" xfId="6680" xr:uid="{00000000-0005-0000-0000-0000F4080000}"/>
    <cellStyle name="Comma 4 2 5 6 2 2" xfId="15130" xr:uid="{5DEBAFF1-4C6C-4DFC-A4A9-7127F405BC37}"/>
    <cellStyle name="Comma 4 2 5 6 3" xfId="10912" xr:uid="{E6D9B8B4-ECBB-4EEB-856D-DCAB18909E2E}"/>
    <cellStyle name="Comma 4 2 5 7" xfId="2367" xr:uid="{00000000-0005-0000-0000-0000F5080000}"/>
    <cellStyle name="Comma 4 2 5 8" xfId="2774" xr:uid="{00000000-0005-0000-0000-0000F6080000}"/>
    <cellStyle name="Comma 4 2 5 8 2" xfId="6997" xr:uid="{00000000-0005-0000-0000-0000F7080000}"/>
    <cellStyle name="Comma 4 2 5 8 2 2" xfId="15447" xr:uid="{85C2630C-5C37-4652-9294-F40F777F571B}"/>
    <cellStyle name="Comma 4 2 5 8 3" xfId="11229" xr:uid="{D8571254-C379-43B0-B7CB-EFCE23741A04}"/>
    <cellStyle name="Comma 4 2 5 9" xfId="4614" xr:uid="{00000000-0005-0000-0000-0000F8080000}"/>
    <cellStyle name="Comma 4 2 5 9 2" xfId="13064" xr:uid="{D4756B4B-D895-4FA9-AC81-23E16BE9D786}"/>
    <cellStyle name="Comma 4 2 6" xfId="143" xr:uid="{00000000-0005-0000-0000-0000F9080000}"/>
    <cellStyle name="Comma 4 2 6 10" xfId="8847" xr:uid="{3BA3EE58-1448-4F97-992B-286CEDC063D6}"/>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436207AE-1457-40D2-B1D7-5D7BA4D13F92}"/>
    <cellStyle name="Comma 4 2 6 2 2 3" xfId="11406" xr:uid="{4A4D1C28-B27F-4F7E-BA25-E4DFA4A25E83}"/>
    <cellStyle name="Comma 4 2 6 2 3" xfId="5029" xr:uid="{00000000-0005-0000-0000-0000FD080000}"/>
    <cellStyle name="Comma 4 2 6 2 3 2" xfId="13479" xr:uid="{12E6FDD5-0A2E-4005-AB38-1C0F65E55750}"/>
    <cellStyle name="Comma 4 2 6 2 4" xfId="9261" xr:uid="{2900C7EA-9E21-4B4B-A5D3-05DA9024E382}"/>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5139A72B-6DCB-48B3-8676-0A465A870475}"/>
    <cellStyle name="Comma 4 2 6 3 2 3" xfId="11819" xr:uid="{4B006BEC-73B2-471F-81C4-0E3446EEF4B9}"/>
    <cellStyle name="Comma 4 2 6 3 3" xfId="5442" xr:uid="{00000000-0005-0000-0000-000001090000}"/>
    <cellStyle name="Comma 4 2 6 3 3 2" xfId="13892" xr:uid="{A333C0C6-CB10-45AD-8A89-A918BC6DD880}"/>
    <cellStyle name="Comma 4 2 6 3 4" xfId="9674" xr:uid="{8DC62D6C-5BD4-454E-A91A-B3AA72626E57}"/>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B94C36AC-3142-4C56-8639-D44DDC7C53A9}"/>
    <cellStyle name="Comma 4 2 6 4 2 3" xfId="12232" xr:uid="{482AFB06-BFCB-44DD-BBD6-94504E190B9F}"/>
    <cellStyle name="Comma 4 2 6 4 3" xfId="5855" xr:uid="{00000000-0005-0000-0000-000005090000}"/>
    <cellStyle name="Comma 4 2 6 4 3 2" xfId="14305" xr:uid="{63DB2A34-F978-49DD-95CA-4D9F2829AB4D}"/>
    <cellStyle name="Comma 4 2 6 4 4" xfId="10087" xr:uid="{6AB77111-D88F-4DC6-9ABA-7B60502C1152}"/>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6FC37CFE-C8AC-41D0-B727-17A7310F37C5}"/>
    <cellStyle name="Comma 4 2 6 5 2 3" xfId="12645" xr:uid="{349FF78B-800D-4F30-8F22-B8DC2F8C9BEA}"/>
    <cellStyle name="Comma 4 2 6 5 3" xfId="6268" xr:uid="{00000000-0005-0000-0000-000009090000}"/>
    <cellStyle name="Comma 4 2 6 5 3 2" xfId="14718" xr:uid="{B82477DC-0AE6-4941-8704-589AA8CC2E4A}"/>
    <cellStyle name="Comma 4 2 6 5 4" xfId="10500" xr:uid="{328F2144-D05E-4917-BFF2-1DC12EB69CB9}"/>
    <cellStyle name="Comma 4 2 6 6" xfId="2397" xr:uid="{00000000-0005-0000-0000-00000A090000}"/>
    <cellStyle name="Comma 4 2 6 6 2" xfId="6681" xr:uid="{00000000-0005-0000-0000-00000B090000}"/>
    <cellStyle name="Comma 4 2 6 6 2 2" xfId="15131" xr:uid="{27971C3D-25D4-46D7-8458-3215F4483264}"/>
    <cellStyle name="Comma 4 2 6 6 3" xfId="10913" xr:uid="{2369AD48-CD1C-49A4-8415-B21AF75F4B16}"/>
    <cellStyle name="Comma 4 2 6 7" xfId="2366" xr:uid="{00000000-0005-0000-0000-00000C090000}"/>
    <cellStyle name="Comma 4 2 6 8" xfId="2775" xr:uid="{00000000-0005-0000-0000-00000D090000}"/>
    <cellStyle name="Comma 4 2 6 8 2" xfId="6998" xr:uid="{00000000-0005-0000-0000-00000E090000}"/>
    <cellStyle name="Comma 4 2 6 8 2 2" xfId="15448" xr:uid="{C8F06F2C-07DF-4BD3-8C19-7DC644018957}"/>
    <cellStyle name="Comma 4 2 6 8 3" xfId="11230" xr:uid="{9E006D59-8E44-466F-9B99-0316F63A0DB0}"/>
    <cellStyle name="Comma 4 2 6 9" xfId="4615" xr:uid="{00000000-0005-0000-0000-00000F090000}"/>
    <cellStyle name="Comma 4 2 6 9 2" xfId="13065" xr:uid="{AE95A7DE-B555-4B85-A68F-4048A3D831C7}"/>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89B761E1-C6F3-4F45-8C7C-9C3C295068AE}"/>
    <cellStyle name="Comma 4 3 2 10 3" xfId="11231" xr:uid="{37FE414D-7D10-4C7B-9261-61F8B94F1D04}"/>
    <cellStyle name="Comma 4 3 2 11" xfId="4616" xr:uid="{00000000-0005-0000-0000-000014090000}"/>
    <cellStyle name="Comma 4 3 2 11 2" xfId="13066" xr:uid="{40499B5B-DC7B-4DE2-A968-745D77E0D21D}"/>
    <cellStyle name="Comma 4 3 2 12" xfId="8848" xr:uid="{E0857C16-A0F8-4BEA-B9AB-F20C9E93A38B}"/>
    <cellStyle name="Comma 4 3 2 2" xfId="146" xr:uid="{00000000-0005-0000-0000-000015090000}"/>
    <cellStyle name="Comma 4 3 2 2 10" xfId="4617" xr:uid="{00000000-0005-0000-0000-000016090000}"/>
    <cellStyle name="Comma 4 3 2 2 10 2" xfId="13067" xr:uid="{E1FE7AB6-AA47-4DF8-B6D5-A4871F03103C}"/>
    <cellStyle name="Comma 4 3 2 2 11" xfId="8849" xr:uid="{0A7F7AA2-322C-46F4-9F84-97195F9E3870}"/>
    <cellStyle name="Comma 4 3 2 2 2" xfId="147" xr:uid="{00000000-0005-0000-0000-000017090000}"/>
    <cellStyle name="Comma 4 3 2 2 2 10" xfId="8850" xr:uid="{1B04E538-1777-49A4-8500-B455051D7B55}"/>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1E1896D7-F215-4918-A335-B64FA6A9F63D}"/>
    <cellStyle name="Comma 4 3 2 2 2 2 2 3" xfId="11409" xr:uid="{4FB12348-E68B-4A89-B431-83D8614346D0}"/>
    <cellStyle name="Comma 4 3 2 2 2 2 3" xfId="5032" xr:uid="{00000000-0005-0000-0000-00001B090000}"/>
    <cellStyle name="Comma 4 3 2 2 2 2 3 2" xfId="13482" xr:uid="{03C80FDD-5D9D-4C3F-A879-C7F452CB9423}"/>
    <cellStyle name="Comma 4 3 2 2 2 2 4" xfId="9264" xr:uid="{8615D459-14FC-4757-AB0D-84C4AFFD0664}"/>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84060A30-DD01-41B9-908E-2679880492DE}"/>
    <cellStyle name="Comma 4 3 2 2 2 3 2 3" xfId="11822" xr:uid="{D00F650C-BB25-41CA-975A-E19CC986AE6B}"/>
    <cellStyle name="Comma 4 3 2 2 2 3 3" xfId="5445" xr:uid="{00000000-0005-0000-0000-00001F090000}"/>
    <cellStyle name="Comma 4 3 2 2 2 3 3 2" xfId="13895" xr:uid="{F4C42C6B-17CB-436B-B912-453E40A02EF7}"/>
    <cellStyle name="Comma 4 3 2 2 2 3 4" xfId="9677" xr:uid="{6B84E708-A572-4D18-A8FE-994D88485E87}"/>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208B2FF3-5072-4BE2-85E7-96D6AA345690}"/>
    <cellStyle name="Comma 4 3 2 2 2 4 2 3" xfId="12235" xr:uid="{533E1D35-7CE9-4BEE-93AC-C5958C6EDB8B}"/>
    <cellStyle name="Comma 4 3 2 2 2 4 3" xfId="5858" xr:uid="{00000000-0005-0000-0000-000023090000}"/>
    <cellStyle name="Comma 4 3 2 2 2 4 3 2" xfId="14308" xr:uid="{C145E618-1181-43DB-94D1-4255D4BCD3BA}"/>
    <cellStyle name="Comma 4 3 2 2 2 4 4" xfId="10090" xr:uid="{5DC307D2-C9C8-4228-8591-2AA64E6A665B}"/>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4C40A75B-935B-40BA-88C3-DC6EE54C8756}"/>
    <cellStyle name="Comma 4 3 2 2 2 5 2 3" xfId="12648" xr:uid="{C5BB89B9-1D93-4E2E-A1FC-BB8E9CCE73D5}"/>
    <cellStyle name="Comma 4 3 2 2 2 5 3" xfId="6271" xr:uid="{00000000-0005-0000-0000-000027090000}"/>
    <cellStyle name="Comma 4 3 2 2 2 5 3 2" xfId="14721" xr:uid="{7841CDD6-F322-4729-B3A7-60ABECC7B5AE}"/>
    <cellStyle name="Comma 4 3 2 2 2 5 4" xfId="10503" xr:uid="{A50BE827-4A8D-4259-AEFA-418F3C3440AA}"/>
    <cellStyle name="Comma 4 3 2 2 2 6" xfId="2400" xr:uid="{00000000-0005-0000-0000-000028090000}"/>
    <cellStyle name="Comma 4 3 2 2 2 6 2" xfId="6684" xr:uid="{00000000-0005-0000-0000-000029090000}"/>
    <cellStyle name="Comma 4 3 2 2 2 6 2 2" xfId="15134" xr:uid="{D8C8C2E8-BB4D-4CCB-8336-226B4A26F903}"/>
    <cellStyle name="Comma 4 3 2 2 2 6 3" xfId="10916" xr:uid="{05EFE935-28D5-40F3-B30B-822C6F869551}"/>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4475616A-60F9-4467-ABAE-D90AC092CE98}"/>
    <cellStyle name="Comma 4 3 2 2 2 8 3" xfId="11233" xr:uid="{CCB2D449-B7E4-44BA-8AC7-2938D0C4933A}"/>
    <cellStyle name="Comma 4 3 2 2 2 9" xfId="4618" xr:uid="{00000000-0005-0000-0000-00002D090000}"/>
    <cellStyle name="Comma 4 3 2 2 2 9 2" xfId="13068" xr:uid="{0141FBD4-DF8E-4710-AC75-3FCB96CAAE94}"/>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E42FCAE0-E3E2-42B3-88FE-EF53AECB2766}"/>
    <cellStyle name="Comma 4 3 2 2 3 2 3" xfId="11408" xr:uid="{31E4FA98-581E-4AF0-98F1-91169B90E378}"/>
    <cellStyle name="Comma 4 3 2 2 3 3" xfId="5031" xr:uid="{00000000-0005-0000-0000-000031090000}"/>
    <cellStyle name="Comma 4 3 2 2 3 3 2" xfId="13481" xr:uid="{31C08748-F328-40FA-9B11-E8770590FB36}"/>
    <cellStyle name="Comma 4 3 2 2 3 4" xfId="9263" xr:uid="{5DD4F21F-F39A-4F0C-AD4A-76FC2EDD4463}"/>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B718FDB1-2939-41E0-AA2B-1E32466CBCAC}"/>
    <cellStyle name="Comma 4 3 2 2 4 2 3" xfId="11821" xr:uid="{3C693677-C78E-48CC-A26D-C6E1BE67AEF6}"/>
    <cellStyle name="Comma 4 3 2 2 4 3" xfId="5444" xr:uid="{00000000-0005-0000-0000-000035090000}"/>
    <cellStyle name="Comma 4 3 2 2 4 3 2" xfId="13894" xr:uid="{10E4AA75-9DD6-42B9-A991-66907BAC91F3}"/>
    <cellStyle name="Comma 4 3 2 2 4 4" xfId="9676" xr:uid="{FC45A62D-5694-44D6-8DED-96F489232BEF}"/>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AEFDD87A-2F85-4D07-868D-BE861D0BC061}"/>
    <cellStyle name="Comma 4 3 2 2 5 2 3" xfId="12234" xr:uid="{4E8F923E-31C5-45F9-942D-4AB61B41BE32}"/>
    <cellStyle name="Comma 4 3 2 2 5 3" xfId="5857" xr:uid="{00000000-0005-0000-0000-000039090000}"/>
    <cellStyle name="Comma 4 3 2 2 5 3 2" xfId="14307" xr:uid="{71E5B92F-58A5-4E56-8A44-0AC61F67257F}"/>
    <cellStyle name="Comma 4 3 2 2 5 4" xfId="10089" xr:uid="{80F870A1-D75A-4819-9138-29DF8379B3ED}"/>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1C210D0B-7638-41F3-B000-7829EEB0A9AD}"/>
    <cellStyle name="Comma 4 3 2 2 6 2 3" xfId="12647" xr:uid="{C4086F61-E20A-4CC0-B8CC-9F677352E9F5}"/>
    <cellStyle name="Comma 4 3 2 2 6 3" xfId="6270" xr:uid="{00000000-0005-0000-0000-00003D090000}"/>
    <cellStyle name="Comma 4 3 2 2 6 3 2" xfId="14720" xr:uid="{14CB7DEB-CA6E-46D8-B11C-C9F496271F83}"/>
    <cellStyle name="Comma 4 3 2 2 6 4" xfId="10502" xr:uid="{26EF677C-DBEC-4A28-8CB6-2D6C3729D680}"/>
    <cellStyle name="Comma 4 3 2 2 7" xfId="2399" xr:uid="{00000000-0005-0000-0000-00003E090000}"/>
    <cellStyle name="Comma 4 3 2 2 7 2" xfId="6683" xr:uid="{00000000-0005-0000-0000-00003F090000}"/>
    <cellStyle name="Comma 4 3 2 2 7 2 2" xfId="15133" xr:uid="{26554326-EC41-40DF-A2B2-4E04496107AB}"/>
    <cellStyle name="Comma 4 3 2 2 7 3" xfId="10915" xr:uid="{9BF8B5EB-E28B-48A3-9A6B-34ADCAB7B1D4}"/>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04EFF66D-39A5-453E-9CB9-EEAFBC22A797}"/>
    <cellStyle name="Comma 4 3 2 2 9 3" xfId="11232" xr:uid="{14458884-3CB7-40E1-98CC-779A2E2F41D7}"/>
    <cellStyle name="Comma 4 3 2 3" xfId="148" xr:uid="{00000000-0005-0000-0000-000043090000}"/>
    <cellStyle name="Comma 4 3 2 3 10" xfId="8851" xr:uid="{62C225B4-623D-4C52-B3F7-47B46DDF167B}"/>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05EB8CA7-2CBB-463D-8E4B-781115CF6199}"/>
    <cellStyle name="Comma 4 3 2 3 2 2 3" xfId="11410" xr:uid="{ACBD8917-ACFB-43E7-BC22-1C530357270E}"/>
    <cellStyle name="Comma 4 3 2 3 2 3" xfId="5033" xr:uid="{00000000-0005-0000-0000-000047090000}"/>
    <cellStyle name="Comma 4 3 2 3 2 3 2" xfId="13483" xr:uid="{90986217-8216-4576-8774-49D976E8A6D6}"/>
    <cellStyle name="Comma 4 3 2 3 2 4" xfId="9265" xr:uid="{D3F3D325-4E74-47B2-96BC-316D89AE349B}"/>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485E092C-0BB6-434B-8C9B-4D2DFB9D5DD0}"/>
    <cellStyle name="Comma 4 3 2 3 3 2 3" xfId="11823" xr:uid="{DE5EBD9F-780A-4229-9BA9-65EB0EC90E7E}"/>
    <cellStyle name="Comma 4 3 2 3 3 3" xfId="5446" xr:uid="{00000000-0005-0000-0000-00004B090000}"/>
    <cellStyle name="Comma 4 3 2 3 3 3 2" xfId="13896" xr:uid="{34FD6269-8D6F-4311-BF3C-9202E1DA7DF7}"/>
    <cellStyle name="Comma 4 3 2 3 3 4" xfId="9678" xr:uid="{03D94C37-AE70-44DE-B4BD-960DE749AC75}"/>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4C300C2E-9B66-4081-8E4C-3DB49E46B74A}"/>
    <cellStyle name="Comma 4 3 2 3 4 2 3" xfId="12236" xr:uid="{1048CAC0-BAAF-4DD6-B744-8C939E6CC69D}"/>
    <cellStyle name="Comma 4 3 2 3 4 3" xfId="5859" xr:uid="{00000000-0005-0000-0000-00004F090000}"/>
    <cellStyle name="Comma 4 3 2 3 4 3 2" xfId="14309" xr:uid="{74BBDF5E-E6E0-4913-A43A-3AA2447E4D39}"/>
    <cellStyle name="Comma 4 3 2 3 4 4" xfId="10091" xr:uid="{126CDBB1-AE02-4818-913B-773D71C0F16C}"/>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333AD83C-8DF3-47BC-BDD6-E0C14E0E59E3}"/>
    <cellStyle name="Comma 4 3 2 3 5 2 3" xfId="12649" xr:uid="{D36D9A58-D476-465F-BAEE-D8FFA8F8F36A}"/>
    <cellStyle name="Comma 4 3 2 3 5 3" xfId="6272" xr:uid="{00000000-0005-0000-0000-000053090000}"/>
    <cellStyle name="Comma 4 3 2 3 5 3 2" xfId="14722" xr:uid="{6DD57857-0545-483E-978E-1A00E2D06ACC}"/>
    <cellStyle name="Comma 4 3 2 3 5 4" xfId="10504" xr:uid="{C9EB5834-2D62-4A6B-86E2-9F4F6C7942F6}"/>
    <cellStyle name="Comma 4 3 2 3 6" xfId="2401" xr:uid="{00000000-0005-0000-0000-000054090000}"/>
    <cellStyle name="Comma 4 3 2 3 6 2" xfId="6685" xr:uid="{00000000-0005-0000-0000-000055090000}"/>
    <cellStyle name="Comma 4 3 2 3 6 2 2" xfId="15135" xr:uid="{35388CA1-9845-410B-B542-CFA05EE35870}"/>
    <cellStyle name="Comma 4 3 2 3 6 3" xfId="10917" xr:uid="{CD077869-2063-40D8-93F0-5960F1504E70}"/>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123D32A2-D41D-47AF-8E8F-DE346BC49A25}"/>
    <cellStyle name="Comma 4 3 2 3 8 3" xfId="11234" xr:uid="{86DE61BB-48EF-47BF-8F44-5BE7AC26CB32}"/>
    <cellStyle name="Comma 4 3 2 3 9" xfId="4619" xr:uid="{00000000-0005-0000-0000-000059090000}"/>
    <cellStyle name="Comma 4 3 2 3 9 2" xfId="13069" xr:uid="{E94CC23D-5131-47C4-A448-225FD9A35203}"/>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DD23BCE4-FE1E-4424-9A40-AC699D839DA5}"/>
    <cellStyle name="Comma 4 3 2 4 2 3" xfId="11407" xr:uid="{C703B387-D3C7-48FB-910D-47F948B4DBA6}"/>
    <cellStyle name="Comma 4 3 2 4 3" xfId="5030" xr:uid="{00000000-0005-0000-0000-00005D090000}"/>
    <cellStyle name="Comma 4 3 2 4 3 2" xfId="13480" xr:uid="{0230F7BC-03F1-4971-91C4-7891543E0A4F}"/>
    <cellStyle name="Comma 4 3 2 4 4" xfId="9262" xr:uid="{F1F4DC92-0935-45EA-BF20-32758D781833}"/>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4B65D15A-521C-4CB3-8CF1-CD6262E8C0CA}"/>
    <cellStyle name="Comma 4 3 2 5 2 3" xfId="11820" xr:uid="{4B0F7DBD-DADD-4C33-A508-DD0679EE87F9}"/>
    <cellStyle name="Comma 4 3 2 5 3" xfId="5443" xr:uid="{00000000-0005-0000-0000-000061090000}"/>
    <cellStyle name="Comma 4 3 2 5 3 2" xfId="13893" xr:uid="{C2F4575B-2F83-4603-A58E-ADAA79D073C3}"/>
    <cellStyle name="Comma 4 3 2 5 4" xfId="9675" xr:uid="{03D2B731-D7C7-4F85-989C-DC25F44354D6}"/>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C2B983EF-76A8-4DA6-9386-F170ACC57105}"/>
    <cellStyle name="Comma 4 3 2 6 2 3" xfId="12233" xr:uid="{76D0004C-C359-41E0-8849-3F3298EA2877}"/>
    <cellStyle name="Comma 4 3 2 6 3" xfId="5856" xr:uid="{00000000-0005-0000-0000-000065090000}"/>
    <cellStyle name="Comma 4 3 2 6 3 2" xfId="14306" xr:uid="{EBFC0DDF-0A6A-40C6-9D06-D02DB74DA28B}"/>
    <cellStyle name="Comma 4 3 2 6 4" xfId="10088" xr:uid="{C2880CDA-E414-43B3-8CF3-C6B0C6486A3F}"/>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BD87FA34-649F-4957-99FD-C45F542B4AAC}"/>
    <cellStyle name="Comma 4 3 2 7 2 3" xfId="12646" xr:uid="{9B11BBCA-BCEB-4BF2-AC22-45E8FA7B8193}"/>
    <cellStyle name="Comma 4 3 2 7 3" xfId="6269" xr:uid="{00000000-0005-0000-0000-000069090000}"/>
    <cellStyle name="Comma 4 3 2 7 3 2" xfId="14719" xr:uid="{B68FC25F-F71F-405F-AF2A-DB826B0514DA}"/>
    <cellStyle name="Comma 4 3 2 7 4" xfId="10501" xr:uid="{55828B13-1E69-4EEC-ABEE-3A1459336F12}"/>
    <cellStyle name="Comma 4 3 2 8" xfId="2398" xr:uid="{00000000-0005-0000-0000-00006A090000}"/>
    <cellStyle name="Comma 4 3 2 8 2" xfId="6682" xr:uid="{00000000-0005-0000-0000-00006B090000}"/>
    <cellStyle name="Comma 4 3 2 8 2 2" xfId="15132" xr:uid="{8B578E67-AAEE-4AB7-87B9-41343E6A7992}"/>
    <cellStyle name="Comma 4 3 2 8 3" xfId="10914" xr:uid="{8AD7C183-4B79-459A-B884-0ED3D6BA01AE}"/>
    <cellStyle name="Comma 4 3 2 9" xfId="2365" xr:uid="{00000000-0005-0000-0000-00006C090000}"/>
    <cellStyle name="Comma 4 3 3" xfId="149" xr:uid="{00000000-0005-0000-0000-00006D090000}"/>
    <cellStyle name="Comma 4 3 3 10" xfId="4620" xr:uid="{00000000-0005-0000-0000-00006E090000}"/>
    <cellStyle name="Comma 4 3 3 10 2" xfId="13070" xr:uid="{BF7F945E-05F1-4DF1-8377-59E578B26566}"/>
    <cellStyle name="Comma 4 3 3 11" xfId="8852" xr:uid="{119C4018-06F5-4923-A904-C1BC938F41F3}"/>
    <cellStyle name="Comma 4 3 3 2" xfId="150" xr:uid="{00000000-0005-0000-0000-00006F090000}"/>
    <cellStyle name="Comma 4 3 3 2 10" xfId="8853" xr:uid="{8EBCB34D-C8CE-4A0C-97EB-EB2B80C8D58B}"/>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927C90CA-560D-432E-925E-7779E4C90EC0}"/>
    <cellStyle name="Comma 4 3 3 2 2 2 3" xfId="11412" xr:uid="{6D10D6AB-559F-4840-85AF-124225D28852}"/>
    <cellStyle name="Comma 4 3 3 2 2 3" xfId="5035" xr:uid="{00000000-0005-0000-0000-000073090000}"/>
    <cellStyle name="Comma 4 3 3 2 2 3 2" xfId="13485" xr:uid="{4D393492-CC59-4570-8C0A-9C20A63F2934}"/>
    <cellStyle name="Comma 4 3 3 2 2 4" xfId="9267" xr:uid="{9CC31DCE-54D9-49DE-9CDB-2FF261F1AFF7}"/>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A04C986A-6779-4461-97DF-E72AD64BA5B5}"/>
    <cellStyle name="Comma 4 3 3 2 3 2 3" xfId="11825" xr:uid="{EA6ACA71-BC2F-4B84-962C-3C35BFD3A84B}"/>
    <cellStyle name="Comma 4 3 3 2 3 3" xfId="5448" xr:uid="{00000000-0005-0000-0000-000077090000}"/>
    <cellStyle name="Comma 4 3 3 2 3 3 2" xfId="13898" xr:uid="{F941FE06-A1F3-47B3-B4CC-8DEB3C3BDAF4}"/>
    <cellStyle name="Comma 4 3 3 2 3 4" xfId="9680" xr:uid="{A009A5FA-2F1D-47EA-A9A0-2A9B5CDDFE55}"/>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2A4C1145-89E5-44AC-B311-05755222D150}"/>
    <cellStyle name="Comma 4 3 3 2 4 2 3" xfId="12238" xr:uid="{DB1EAF8B-A28B-4ADA-8DFC-122EF439F109}"/>
    <cellStyle name="Comma 4 3 3 2 4 3" xfId="5861" xr:uid="{00000000-0005-0000-0000-00007B090000}"/>
    <cellStyle name="Comma 4 3 3 2 4 3 2" xfId="14311" xr:uid="{7896D4E0-C51E-431D-9B65-E8D3BAA170D0}"/>
    <cellStyle name="Comma 4 3 3 2 4 4" xfId="10093" xr:uid="{40E47FC9-AB77-4B7D-97C1-FF615497D9E3}"/>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D87761CC-E3E3-40ED-B1E0-42E49E153896}"/>
    <cellStyle name="Comma 4 3 3 2 5 2 3" xfId="12651" xr:uid="{C66F1881-AC6B-4A01-A5D4-0668A7D91B79}"/>
    <cellStyle name="Comma 4 3 3 2 5 3" xfId="6274" xr:uid="{00000000-0005-0000-0000-00007F090000}"/>
    <cellStyle name="Comma 4 3 3 2 5 3 2" xfId="14724" xr:uid="{85094663-6C2A-4E67-8A7D-772D929712E4}"/>
    <cellStyle name="Comma 4 3 3 2 5 4" xfId="10506" xr:uid="{8AE25FD8-541E-4305-BED6-271FE0C39C8C}"/>
    <cellStyle name="Comma 4 3 3 2 6" xfId="2403" xr:uid="{00000000-0005-0000-0000-000080090000}"/>
    <cellStyle name="Comma 4 3 3 2 6 2" xfId="6687" xr:uid="{00000000-0005-0000-0000-000081090000}"/>
    <cellStyle name="Comma 4 3 3 2 6 2 2" xfId="15137" xr:uid="{8C6B19D4-8C0F-4E7A-9B4A-F4EEB7140DF1}"/>
    <cellStyle name="Comma 4 3 3 2 6 3" xfId="10919" xr:uid="{7A38F81A-CE8D-4B20-89A7-2A1DC8D00C3F}"/>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22F7BED9-BD07-488C-AEE5-0755CD04BD30}"/>
    <cellStyle name="Comma 4 3 3 2 8 3" xfId="11236" xr:uid="{A35D8E41-9C89-4B3F-A7F3-572F6867FF69}"/>
    <cellStyle name="Comma 4 3 3 2 9" xfId="4621" xr:uid="{00000000-0005-0000-0000-000085090000}"/>
    <cellStyle name="Comma 4 3 3 2 9 2" xfId="13071" xr:uid="{556BDBA2-E857-4EC4-9799-7F6440882626}"/>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57B0F819-5A3A-4AB8-A958-A5C058161CB4}"/>
    <cellStyle name="Comma 4 3 3 3 2 3" xfId="11411" xr:uid="{0DE12271-1A4B-4FAB-BF7B-60AC39BC9082}"/>
    <cellStyle name="Comma 4 3 3 3 3" xfId="5034" xr:uid="{00000000-0005-0000-0000-000089090000}"/>
    <cellStyle name="Comma 4 3 3 3 3 2" xfId="13484" xr:uid="{C42D72A8-0177-4D0A-B36D-15644AE2F8C4}"/>
    <cellStyle name="Comma 4 3 3 3 4" xfId="9266" xr:uid="{2AD73618-F645-4103-A08D-E52F60980CB0}"/>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CF7ABF27-D201-45A7-8DF8-8123DEC17DB7}"/>
    <cellStyle name="Comma 4 3 3 4 2 3" xfId="11824" xr:uid="{28CBC367-959C-4539-87EF-9EB60DC7F6C9}"/>
    <cellStyle name="Comma 4 3 3 4 3" xfId="5447" xr:uid="{00000000-0005-0000-0000-00008D090000}"/>
    <cellStyle name="Comma 4 3 3 4 3 2" xfId="13897" xr:uid="{F04956F4-1D50-4B0B-BF64-66CBE7FFAE40}"/>
    <cellStyle name="Comma 4 3 3 4 4" xfId="9679" xr:uid="{0E890C72-3F94-4433-BD5F-03C168B5AE28}"/>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BF08007F-AB97-4001-89B2-A87A2EAE545A}"/>
    <cellStyle name="Comma 4 3 3 5 2 3" xfId="12237" xr:uid="{60DC6FB3-9D4D-4A4F-A674-61784B383608}"/>
    <cellStyle name="Comma 4 3 3 5 3" xfId="5860" xr:uid="{00000000-0005-0000-0000-000091090000}"/>
    <cellStyle name="Comma 4 3 3 5 3 2" xfId="14310" xr:uid="{4E64A2E7-1A64-4648-8707-582BA64D5E14}"/>
    <cellStyle name="Comma 4 3 3 5 4" xfId="10092" xr:uid="{F05F5813-00F9-4D7A-AD2E-18EE9F8443A5}"/>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0F92EDF4-DD93-4D2B-B8CA-F18FD2833AC8}"/>
    <cellStyle name="Comma 4 3 3 6 2 3" xfId="12650" xr:uid="{391813C3-72CD-4645-9B66-88FD71620861}"/>
    <cellStyle name="Comma 4 3 3 6 3" xfId="6273" xr:uid="{00000000-0005-0000-0000-000095090000}"/>
    <cellStyle name="Comma 4 3 3 6 3 2" xfId="14723" xr:uid="{D771B63A-F85C-445C-B981-1552661F8EC2}"/>
    <cellStyle name="Comma 4 3 3 6 4" xfId="10505" xr:uid="{908618FD-0044-479F-B3D8-4D046D9802AC}"/>
    <cellStyle name="Comma 4 3 3 7" xfId="2402" xr:uid="{00000000-0005-0000-0000-000096090000}"/>
    <cellStyle name="Comma 4 3 3 7 2" xfId="6686" xr:uid="{00000000-0005-0000-0000-000097090000}"/>
    <cellStyle name="Comma 4 3 3 7 2 2" xfId="15136" xr:uid="{D45B7EA9-9C7A-4CD5-90D0-C362AD54A41A}"/>
    <cellStyle name="Comma 4 3 3 7 3" xfId="10918" xr:uid="{589A3419-3A62-46A7-89CE-67756296C9AB}"/>
    <cellStyle name="Comma 4 3 3 8" xfId="2361" xr:uid="{00000000-0005-0000-0000-000098090000}"/>
    <cellStyle name="Comma 4 3 3 9" xfId="2780" xr:uid="{00000000-0005-0000-0000-000099090000}"/>
    <cellStyle name="Comma 4 3 3 9 2" xfId="7003" xr:uid="{00000000-0005-0000-0000-00009A090000}"/>
    <cellStyle name="Comma 4 3 3 9 2 2" xfId="15453" xr:uid="{21AA5CE6-9BCA-4CF1-8856-E8E81DCFD673}"/>
    <cellStyle name="Comma 4 3 3 9 3" xfId="11235" xr:uid="{CA4A3B60-FABE-4FD8-B658-B547774CC53B}"/>
    <cellStyle name="Comma 4 3 4" xfId="151" xr:uid="{00000000-0005-0000-0000-00009B090000}"/>
    <cellStyle name="Comma 4 3 4 10" xfId="8854" xr:uid="{291B1500-BB2B-4B78-B692-6B3D02943910}"/>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ADBA6B7C-8E24-4C2D-A2BE-55921ABCE821}"/>
    <cellStyle name="Comma 4 3 4 2 2 3" xfId="11413" xr:uid="{228FE7C0-4EA4-4215-853E-199731989E3B}"/>
    <cellStyle name="Comma 4 3 4 2 3" xfId="5036" xr:uid="{00000000-0005-0000-0000-00009F090000}"/>
    <cellStyle name="Comma 4 3 4 2 3 2" xfId="13486" xr:uid="{8C7FA0E8-4DEA-4154-8E1F-4564D2C8E396}"/>
    <cellStyle name="Comma 4 3 4 2 4" xfId="9268" xr:uid="{CB44836D-DC21-41BC-B4B2-56F970C1F470}"/>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B1579D50-BFF4-497F-8A3C-87DCA8998E0D}"/>
    <cellStyle name="Comma 4 3 4 3 2 3" xfId="11826" xr:uid="{58C9B32A-26DE-4958-B6AB-5C00B026FCE4}"/>
    <cellStyle name="Comma 4 3 4 3 3" xfId="5449" xr:uid="{00000000-0005-0000-0000-0000A3090000}"/>
    <cellStyle name="Comma 4 3 4 3 3 2" xfId="13899" xr:uid="{6E0451CF-4B96-425C-AEA5-D2C3720F638F}"/>
    <cellStyle name="Comma 4 3 4 3 4" xfId="9681" xr:uid="{E69F5A84-54ED-4AE8-9CAB-EBB0A66AD467}"/>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1F84649C-0161-494C-8F1C-E6D68FD5B58D}"/>
    <cellStyle name="Comma 4 3 4 4 2 3" xfId="12239" xr:uid="{BC4F5E30-F491-4A60-83A5-244C28314079}"/>
    <cellStyle name="Comma 4 3 4 4 3" xfId="5862" xr:uid="{00000000-0005-0000-0000-0000A7090000}"/>
    <cellStyle name="Comma 4 3 4 4 3 2" xfId="14312" xr:uid="{F4D24A1F-3715-4453-A3B3-EB58493F7779}"/>
    <cellStyle name="Comma 4 3 4 4 4" xfId="10094" xr:uid="{AF9FD7BA-0CE3-4D95-BB40-423F518C8DCE}"/>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142B85B8-E585-4C3D-B121-732D0DA4E038}"/>
    <cellStyle name="Comma 4 3 4 5 2 3" xfId="12652" xr:uid="{DD01FF3A-2A5C-4171-96DF-7806F81CB0F2}"/>
    <cellStyle name="Comma 4 3 4 5 3" xfId="6275" xr:uid="{00000000-0005-0000-0000-0000AB090000}"/>
    <cellStyle name="Comma 4 3 4 5 3 2" xfId="14725" xr:uid="{DE955D27-533F-48A3-B871-2F6770EDA0E9}"/>
    <cellStyle name="Comma 4 3 4 5 4" xfId="10507" xr:uid="{419BFAF4-C5F3-45C9-908D-57B590A6550B}"/>
    <cellStyle name="Comma 4 3 4 6" xfId="2404" xr:uid="{00000000-0005-0000-0000-0000AC090000}"/>
    <cellStyle name="Comma 4 3 4 6 2" xfId="6688" xr:uid="{00000000-0005-0000-0000-0000AD090000}"/>
    <cellStyle name="Comma 4 3 4 6 2 2" xfId="15138" xr:uid="{68D7CFE9-52EC-46EF-87A5-6FC293034D41}"/>
    <cellStyle name="Comma 4 3 4 6 3" xfId="10920" xr:uid="{9CA48E97-5886-49C6-978F-1257ABF470D1}"/>
    <cellStyle name="Comma 4 3 4 7" xfId="2700" xr:uid="{00000000-0005-0000-0000-0000AE090000}"/>
    <cellStyle name="Comma 4 3 4 8" xfId="2782" xr:uid="{00000000-0005-0000-0000-0000AF090000}"/>
    <cellStyle name="Comma 4 3 4 8 2" xfId="7005" xr:uid="{00000000-0005-0000-0000-0000B0090000}"/>
    <cellStyle name="Comma 4 3 4 8 2 2" xfId="15455" xr:uid="{7E9434C6-B6E0-4121-8D12-DBD5D8EBCD21}"/>
    <cellStyle name="Comma 4 3 4 8 3" xfId="11237" xr:uid="{C3110531-FB59-4B20-AB94-B65EB370318B}"/>
    <cellStyle name="Comma 4 3 4 9" xfId="4622" xr:uid="{00000000-0005-0000-0000-0000B1090000}"/>
    <cellStyle name="Comma 4 3 4 9 2" xfId="13072" xr:uid="{E9AF6919-C7F1-4FF4-BEEB-F9CAFC9367FA}"/>
    <cellStyle name="Comma 4 3 5" xfId="152" xr:uid="{00000000-0005-0000-0000-0000B2090000}"/>
    <cellStyle name="Comma 4 3 5 10" xfId="8855" xr:uid="{E96F23D3-EEDC-4D25-82E9-F1DDCEE96E10}"/>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46C55BCE-432D-41F5-8C0D-DC2471A64BFA}"/>
    <cellStyle name="Comma 4 3 5 2 2 3" xfId="11414" xr:uid="{F583116A-12ED-43AC-BE5F-1FFB4FE9F761}"/>
    <cellStyle name="Comma 4 3 5 2 3" xfId="5037" xr:uid="{00000000-0005-0000-0000-0000B6090000}"/>
    <cellStyle name="Comma 4 3 5 2 3 2" xfId="13487" xr:uid="{77466659-D4B5-4856-90ED-9D472D249C52}"/>
    <cellStyle name="Comma 4 3 5 2 4" xfId="9269" xr:uid="{C62A742F-C6DC-4633-931D-45E08F5BE32B}"/>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AD6FE23F-25E8-4128-B5BD-97B1ABB4D8D7}"/>
    <cellStyle name="Comma 4 3 5 3 2 3" xfId="11827" xr:uid="{6953F831-B719-4384-9F24-A51D35B0EA9F}"/>
    <cellStyle name="Comma 4 3 5 3 3" xfId="5450" xr:uid="{00000000-0005-0000-0000-0000BA090000}"/>
    <cellStyle name="Comma 4 3 5 3 3 2" xfId="13900" xr:uid="{A4B08F74-FE4A-4FC2-9981-E234C6227554}"/>
    <cellStyle name="Comma 4 3 5 3 4" xfId="9682" xr:uid="{4D3C87A6-42CD-4941-B3B4-A70FAC48D3BC}"/>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46036579-774F-4FB3-890A-4546110A41A0}"/>
    <cellStyle name="Comma 4 3 5 4 2 3" xfId="12240" xr:uid="{1410658D-F18C-4B0E-9075-9466368CEECD}"/>
    <cellStyle name="Comma 4 3 5 4 3" xfId="5863" xr:uid="{00000000-0005-0000-0000-0000BE090000}"/>
    <cellStyle name="Comma 4 3 5 4 3 2" xfId="14313" xr:uid="{0D0FB4D3-6A3B-413B-A02C-9F47B06E159B}"/>
    <cellStyle name="Comma 4 3 5 4 4" xfId="10095" xr:uid="{0F9E56A5-94A2-4CBB-BE67-D707564CF587}"/>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B6159FE3-2643-47CA-868A-3FB79A7FD51B}"/>
    <cellStyle name="Comma 4 3 5 5 2 3" xfId="12653" xr:uid="{887F3260-CD45-4E6C-96D5-E336826E2529}"/>
    <cellStyle name="Comma 4 3 5 5 3" xfId="6276" xr:uid="{00000000-0005-0000-0000-0000C2090000}"/>
    <cellStyle name="Comma 4 3 5 5 3 2" xfId="14726" xr:uid="{F2625BF3-7C9E-4DC8-873C-66AE09EEE9E0}"/>
    <cellStyle name="Comma 4 3 5 5 4" xfId="10508" xr:uid="{A4BEF7D0-A23B-4F4B-BD01-587C00AD1B10}"/>
    <cellStyle name="Comma 4 3 5 6" xfId="2405" xr:uid="{00000000-0005-0000-0000-0000C3090000}"/>
    <cellStyle name="Comma 4 3 5 6 2" xfId="6689" xr:uid="{00000000-0005-0000-0000-0000C4090000}"/>
    <cellStyle name="Comma 4 3 5 6 2 2" xfId="15139" xr:uid="{2FB60A4D-DB39-4FF1-A8A6-19879836B015}"/>
    <cellStyle name="Comma 4 3 5 6 3" xfId="10921" xr:uid="{B3682B9B-280D-439B-ACF1-983B13CE22F0}"/>
    <cellStyle name="Comma 4 3 5 7" xfId="2701" xr:uid="{00000000-0005-0000-0000-0000C5090000}"/>
    <cellStyle name="Comma 4 3 5 8" xfId="2783" xr:uid="{00000000-0005-0000-0000-0000C6090000}"/>
    <cellStyle name="Comma 4 3 5 8 2" xfId="7006" xr:uid="{00000000-0005-0000-0000-0000C7090000}"/>
    <cellStyle name="Comma 4 3 5 8 2 2" xfId="15456" xr:uid="{986DB829-FC9E-4D5B-9D62-874C21A39F11}"/>
    <cellStyle name="Comma 4 3 5 8 3" xfId="11238" xr:uid="{0AFFC5E9-7A1E-4157-84D9-814A02325976}"/>
    <cellStyle name="Comma 4 3 5 9" xfId="4623" xr:uid="{00000000-0005-0000-0000-0000C8090000}"/>
    <cellStyle name="Comma 4 3 5 9 2" xfId="13073" xr:uid="{3426CD23-19D4-4A77-8630-75E8B321108F}"/>
    <cellStyle name="Comma 4 4" xfId="153" xr:uid="{00000000-0005-0000-0000-0000C9090000}"/>
    <cellStyle name="Comma 4 4 10" xfId="2784" xr:uid="{00000000-0005-0000-0000-0000CA090000}"/>
    <cellStyle name="Comma 4 4 10 2" xfId="7007" xr:uid="{00000000-0005-0000-0000-0000CB090000}"/>
    <cellStyle name="Comma 4 4 10 2 2" xfId="15457" xr:uid="{0F6A5067-0291-467E-AEAF-C70BDE6E108D}"/>
    <cellStyle name="Comma 4 4 10 3" xfId="11239" xr:uid="{7798E5F3-2818-4DAF-8E87-48E2CED1416E}"/>
    <cellStyle name="Comma 4 4 11" xfId="4624" xr:uid="{00000000-0005-0000-0000-0000CC090000}"/>
    <cellStyle name="Comma 4 4 11 2" xfId="13074" xr:uid="{F7BE1B9A-B6A4-48CC-A487-017ECD7105A8}"/>
    <cellStyle name="Comma 4 4 12" xfId="8856" xr:uid="{FDD61FBF-C48F-43C7-BEB2-CE0085C8D865}"/>
    <cellStyle name="Comma 4 4 2" xfId="154" xr:uid="{00000000-0005-0000-0000-0000CD090000}"/>
    <cellStyle name="Comma 4 4 2 10" xfId="4625" xr:uid="{00000000-0005-0000-0000-0000CE090000}"/>
    <cellStyle name="Comma 4 4 2 10 2" xfId="13075" xr:uid="{66A72D07-A6B4-4EDB-BF88-117633AE2A41}"/>
    <cellStyle name="Comma 4 4 2 11" xfId="8857" xr:uid="{75E25703-B154-4EB7-8EED-45276796D648}"/>
    <cellStyle name="Comma 4 4 2 2" xfId="155" xr:uid="{00000000-0005-0000-0000-0000CF090000}"/>
    <cellStyle name="Comma 4 4 2 2 10" xfId="8858" xr:uid="{47980929-38B6-4DA8-A644-14D0D1D3E20B}"/>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2D7074F4-B485-42A1-91FC-FAAC636182A2}"/>
    <cellStyle name="Comma 4 4 2 2 2 2 3" xfId="11417" xr:uid="{5A206958-49F6-4ADC-888B-25B2BA17BA8A}"/>
    <cellStyle name="Comma 4 4 2 2 2 3" xfId="5040" xr:uid="{00000000-0005-0000-0000-0000D3090000}"/>
    <cellStyle name="Comma 4 4 2 2 2 3 2" xfId="13490" xr:uid="{B8E4BA0A-A025-4210-8F17-31F5FB1260D2}"/>
    <cellStyle name="Comma 4 4 2 2 2 4" xfId="9272" xr:uid="{2F68ADEB-8067-4409-A2AC-B22699441B09}"/>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6D211248-A3F0-449D-BD7E-C8A32750EAB3}"/>
    <cellStyle name="Comma 4 4 2 2 3 2 3" xfId="11830" xr:uid="{C10557B4-A5C4-4F22-AA2F-4282816B81F7}"/>
    <cellStyle name="Comma 4 4 2 2 3 3" xfId="5453" xr:uid="{00000000-0005-0000-0000-0000D7090000}"/>
    <cellStyle name="Comma 4 4 2 2 3 3 2" xfId="13903" xr:uid="{AB9D0BAC-F70C-41BA-8AD7-1155232EAD6E}"/>
    <cellStyle name="Comma 4 4 2 2 3 4" xfId="9685" xr:uid="{5DC864EF-4FE3-4B92-9883-66BABDC0E40C}"/>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1DB4FD55-2BA4-4392-923A-0C2E365076E1}"/>
    <cellStyle name="Comma 4 4 2 2 4 2 3" xfId="12243" xr:uid="{5CDAE899-1C74-45E0-AB34-A8E48F763B34}"/>
    <cellStyle name="Comma 4 4 2 2 4 3" xfId="5866" xr:uid="{00000000-0005-0000-0000-0000DB090000}"/>
    <cellStyle name="Comma 4 4 2 2 4 3 2" xfId="14316" xr:uid="{98AD5537-F93D-4C0C-B3C0-1358A99E008F}"/>
    <cellStyle name="Comma 4 4 2 2 4 4" xfId="10098" xr:uid="{0569B868-3570-4268-8F53-03CAA568FB07}"/>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F857F25B-AA65-403D-A688-FDB7F58DDC51}"/>
    <cellStyle name="Comma 4 4 2 2 5 2 3" xfId="12656" xr:uid="{CA7D55B0-6FC3-4523-9848-71046C215E94}"/>
    <cellStyle name="Comma 4 4 2 2 5 3" xfId="6279" xr:uid="{00000000-0005-0000-0000-0000DF090000}"/>
    <cellStyle name="Comma 4 4 2 2 5 3 2" xfId="14729" xr:uid="{A1D09C60-5875-4094-BD3F-BE16247C4A0A}"/>
    <cellStyle name="Comma 4 4 2 2 5 4" xfId="10511" xr:uid="{4F2EFA11-77D2-476D-AB7F-1667ACC46812}"/>
    <cellStyle name="Comma 4 4 2 2 6" xfId="2408" xr:uid="{00000000-0005-0000-0000-0000E0090000}"/>
    <cellStyle name="Comma 4 4 2 2 6 2" xfId="6692" xr:uid="{00000000-0005-0000-0000-0000E1090000}"/>
    <cellStyle name="Comma 4 4 2 2 6 2 2" xfId="15142" xr:uid="{B11AD528-40B8-4178-929C-9D7A00A280ED}"/>
    <cellStyle name="Comma 4 4 2 2 6 3" xfId="10924" xr:uid="{9F646999-2CAC-4F87-8EC2-CEDC705D7954}"/>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5D874E20-51A3-40E8-A66F-173D9DD9D372}"/>
    <cellStyle name="Comma 4 4 2 2 8 3" xfId="11241" xr:uid="{CA6B3B5E-5143-42B0-BD6C-A4BE68AFB981}"/>
    <cellStyle name="Comma 4 4 2 2 9" xfId="4626" xr:uid="{00000000-0005-0000-0000-0000E5090000}"/>
    <cellStyle name="Comma 4 4 2 2 9 2" xfId="13076" xr:uid="{C4BBFD41-C474-4587-8DE5-21B4CBEBDD3F}"/>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9E858895-6B24-4E5F-A199-6D544B0CCBDE}"/>
    <cellStyle name="Comma 4 4 2 3 2 3" xfId="11416" xr:uid="{E791C85B-712D-4E08-A839-01D173EBF674}"/>
    <cellStyle name="Comma 4 4 2 3 3" xfId="5039" xr:uid="{00000000-0005-0000-0000-0000E9090000}"/>
    <cellStyle name="Comma 4 4 2 3 3 2" xfId="13489" xr:uid="{D1F10B2E-B9CC-4386-B22F-563D8B30B96F}"/>
    <cellStyle name="Comma 4 4 2 3 4" xfId="9271" xr:uid="{C92CCF16-A9B8-405B-8740-E1862C1CD7C3}"/>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39E2A448-5409-4C5A-A462-9B2FCE861038}"/>
    <cellStyle name="Comma 4 4 2 4 2 3" xfId="11829" xr:uid="{0E394A2D-CC63-4E44-BBFA-1EDD3E664ECD}"/>
    <cellStyle name="Comma 4 4 2 4 3" xfId="5452" xr:uid="{00000000-0005-0000-0000-0000ED090000}"/>
    <cellStyle name="Comma 4 4 2 4 3 2" xfId="13902" xr:uid="{CFE86CA5-CAEE-4D49-A7D2-034FAF98110B}"/>
    <cellStyle name="Comma 4 4 2 4 4" xfId="9684" xr:uid="{DC923231-AEB0-45D0-9A27-396E2D79EC9C}"/>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F728393B-E2FC-430F-A310-A962D4657FDB}"/>
    <cellStyle name="Comma 4 4 2 5 2 3" xfId="12242" xr:uid="{05540BB8-F570-4298-9A3B-A4B1D0C7CCD0}"/>
    <cellStyle name="Comma 4 4 2 5 3" xfId="5865" xr:uid="{00000000-0005-0000-0000-0000F1090000}"/>
    <cellStyle name="Comma 4 4 2 5 3 2" xfId="14315" xr:uid="{208312E8-1F17-47AD-B955-203C7FA6EA0A}"/>
    <cellStyle name="Comma 4 4 2 5 4" xfId="10097" xr:uid="{72DD38AE-CE53-4E54-B434-683C6172432F}"/>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4681B054-90E2-4F33-9AEB-E49487E128AF}"/>
    <cellStyle name="Comma 4 4 2 6 2 3" xfId="12655" xr:uid="{76E7169F-782C-4F0F-8E47-AAE86791824A}"/>
    <cellStyle name="Comma 4 4 2 6 3" xfId="6278" xr:uid="{00000000-0005-0000-0000-0000F5090000}"/>
    <cellStyle name="Comma 4 4 2 6 3 2" xfId="14728" xr:uid="{0F30B316-8BF8-4888-BD78-DED8B33F1CA3}"/>
    <cellStyle name="Comma 4 4 2 6 4" xfId="10510" xr:uid="{7FB7B28D-734F-46DA-B22D-CB9F374CE424}"/>
    <cellStyle name="Comma 4 4 2 7" xfId="2407" xr:uid="{00000000-0005-0000-0000-0000F6090000}"/>
    <cellStyle name="Comma 4 4 2 7 2" xfId="6691" xr:uid="{00000000-0005-0000-0000-0000F7090000}"/>
    <cellStyle name="Comma 4 4 2 7 2 2" xfId="15141" xr:uid="{3E6A1511-DF51-4E7E-A568-335813DA3736}"/>
    <cellStyle name="Comma 4 4 2 7 3" xfId="10923" xr:uid="{673B2D9E-A258-44E5-B3DF-B01D5A50A4A6}"/>
    <cellStyle name="Comma 4 4 2 8" xfId="2703" xr:uid="{00000000-0005-0000-0000-0000F8090000}"/>
    <cellStyle name="Comma 4 4 2 9" xfId="2785" xr:uid="{00000000-0005-0000-0000-0000F9090000}"/>
    <cellStyle name="Comma 4 4 2 9 2" xfId="7008" xr:uid="{00000000-0005-0000-0000-0000FA090000}"/>
    <cellStyle name="Comma 4 4 2 9 2 2" xfId="15458" xr:uid="{5CD648B3-D316-4B13-9F24-666EE79DBCC6}"/>
    <cellStyle name="Comma 4 4 2 9 3" xfId="11240" xr:uid="{11946F0D-965B-4D12-909E-B3E945885439}"/>
    <cellStyle name="Comma 4 4 3" xfId="156" xr:uid="{00000000-0005-0000-0000-0000FB090000}"/>
    <cellStyle name="Comma 4 4 3 10" xfId="8859" xr:uid="{4C0A4AFD-9ADE-4EB5-9FA2-D49F28E22D0E}"/>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298AD5A6-3492-47E6-B1C9-B7587FA72BF1}"/>
    <cellStyle name="Comma 4 4 3 2 2 3" xfId="11418" xr:uid="{F8D74352-8309-4399-AF66-EAE3953971E9}"/>
    <cellStyle name="Comma 4 4 3 2 3" xfId="5041" xr:uid="{00000000-0005-0000-0000-0000FF090000}"/>
    <cellStyle name="Comma 4 4 3 2 3 2" xfId="13491" xr:uid="{4E09D067-05F2-4051-B398-C4147C1904DF}"/>
    <cellStyle name="Comma 4 4 3 2 4" xfId="9273" xr:uid="{17BFAA81-AFE6-404A-9092-0676614A4A8B}"/>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9C1D87C6-63C6-4767-8072-1C5AA521AEF1}"/>
    <cellStyle name="Comma 4 4 3 3 2 3" xfId="11831" xr:uid="{F2E5F2D0-D7E5-4D9E-9429-3F1DC1E255D7}"/>
    <cellStyle name="Comma 4 4 3 3 3" xfId="5454" xr:uid="{00000000-0005-0000-0000-0000030A0000}"/>
    <cellStyle name="Comma 4 4 3 3 3 2" xfId="13904" xr:uid="{B435FF29-5A6A-474F-8D5D-B35E2B8E6269}"/>
    <cellStyle name="Comma 4 4 3 3 4" xfId="9686" xr:uid="{C6410CAF-9B74-4A99-8B3F-BF4C1522F455}"/>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EFE9E7E1-6988-4A74-9D06-E1449021415C}"/>
    <cellStyle name="Comma 4 4 3 4 2 3" xfId="12244" xr:uid="{85B9C554-ECA9-4D53-86A9-1A52FAA0C4CC}"/>
    <cellStyle name="Comma 4 4 3 4 3" xfId="5867" xr:uid="{00000000-0005-0000-0000-0000070A0000}"/>
    <cellStyle name="Comma 4 4 3 4 3 2" xfId="14317" xr:uid="{F2877E5F-791D-40B8-9644-4A07EBA60C40}"/>
    <cellStyle name="Comma 4 4 3 4 4" xfId="10099" xr:uid="{5541DA2C-FC3E-4AF3-AB7F-FCB3AE2E98E1}"/>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F03DD0BB-511B-4AAC-90E5-48F7D8D9D9CD}"/>
    <cellStyle name="Comma 4 4 3 5 2 3" xfId="12657" xr:uid="{A0D5E046-175A-4C88-AC44-BDB8F4932506}"/>
    <cellStyle name="Comma 4 4 3 5 3" xfId="6280" xr:uid="{00000000-0005-0000-0000-00000B0A0000}"/>
    <cellStyle name="Comma 4 4 3 5 3 2" xfId="14730" xr:uid="{3AE5612D-7E43-40F7-ADA8-902F241CBAA8}"/>
    <cellStyle name="Comma 4 4 3 5 4" xfId="10512" xr:uid="{FB3DCBCD-9907-4659-A8D1-230C239F3DA0}"/>
    <cellStyle name="Comma 4 4 3 6" xfId="2409" xr:uid="{00000000-0005-0000-0000-00000C0A0000}"/>
    <cellStyle name="Comma 4 4 3 6 2" xfId="6693" xr:uid="{00000000-0005-0000-0000-00000D0A0000}"/>
    <cellStyle name="Comma 4 4 3 6 2 2" xfId="15143" xr:uid="{489F9128-2A39-45AF-AF1F-C6FA46E50825}"/>
    <cellStyle name="Comma 4 4 3 6 3" xfId="10925" xr:uid="{89B2CE8A-74C2-46BF-A3D3-977DAFA32223}"/>
    <cellStyle name="Comma 4 4 3 7" xfId="2705" xr:uid="{00000000-0005-0000-0000-00000E0A0000}"/>
    <cellStyle name="Comma 4 4 3 8" xfId="2787" xr:uid="{00000000-0005-0000-0000-00000F0A0000}"/>
    <cellStyle name="Comma 4 4 3 8 2" xfId="7010" xr:uid="{00000000-0005-0000-0000-0000100A0000}"/>
    <cellStyle name="Comma 4 4 3 8 2 2" xfId="15460" xr:uid="{E7FE84B8-2B5E-4B89-949E-890B9EDF8F96}"/>
    <cellStyle name="Comma 4 4 3 8 3" xfId="11242" xr:uid="{1124A91D-6E1F-4703-8B9E-905AAC444106}"/>
    <cellStyle name="Comma 4 4 3 9" xfId="4627" xr:uid="{00000000-0005-0000-0000-0000110A0000}"/>
    <cellStyle name="Comma 4 4 3 9 2" xfId="13077" xr:uid="{4975EDA8-7E4F-4FCE-9758-DC6A72BF8132}"/>
    <cellStyle name="Comma 4 4 4" xfId="690" xr:uid="{00000000-0005-0000-0000-0000120A0000}"/>
    <cellStyle name="Comma 4 4 4 2" xfId="2961" xr:uid="{00000000-0005-0000-0000-0000130A0000}"/>
    <cellStyle name="Comma 4 4 4 2 2" xfId="7183" xr:uid="{00000000-0005-0000-0000-0000140A0000}"/>
    <cellStyle name="Comma 4 4 4 2 2 2" xfId="15633" xr:uid="{636CF4F2-2363-41D4-9CBC-D55B0C7E1AD3}"/>
    <cellStyle name="Comma 4 4 4 2 3" xfId="11415" xr:uid="{3B6AF16C-2BEA-4A4B-AD2E-5F48596577DA}"/>
    <cellStyle name="Comma 4 4 4 3" xfId="5038" xr:uid="{00000000-0005-0000-0000-0000150A0000}"/>
    <cellStyle name="Comma 4 4 4 3 2" xfId="13488" xr:uid="{18804D71-53C3-43D0-8285-535B3272DF89}"/>
    <cellStyle name="Comma 4 4 4 4" xfId="9270" xr:uid="{826123C5-17FE-4AAE-BD7E-E988AF210487}"/>
    <cellStyle name="Comma 4 4 5" xfId="1143" xr:uid="{00000000-0005-0000-0000-0000160A0000}"/>
    <cellStyle name="Comma 4 4 5 2" xfId="3374" xr:uid="{00000000-0005-0000-0000-0000170A0000}"/>
    <cellStyle name="Comma 4 4 5 2 2" xfId="7596" xr:uid="{00000000-0005-0000-0000-0000180A0000}"/>
    <cellStyle name="Comma 4 4 5 2 2 2" xfId="16046" xr:uid="{CFCB7FCC-61B4-4929-B8B8-A9ACD49B5E17}"/>
    <cellStyle name="Comma 4 4 5 2 3" xfId="11828" xr:uid="{26CEFF1A-E176-4CFC-A893-704DF09D8E2D}"/>
    <cellStyle name="Comma 4 4 5 3" xfId="5451" xr:uid="{00000000-0005-0000-0000-0000190A0000}"/>
    <cellStyle name="Comma 4 4 5 3 2" xfId="13901" xr:uid="{1D8F2FAE-0DCD-4CC8-AE98-B37AC7299B30}"/>
    <cellStyle name="Comma 4 4 5 4" xfId="9683" xr:uid="{8836943D-02E0-4027-9759-86B096905843}"/>
    <cellStyle name="Comma 4 4 6" xfId="1557" xr:uid="{00000000-0005-0000-0000-00001A0A0000}"/>
    <cellStyle name="Comma 4 4 6 2" xfId="3787" xr:uid="{00000000-0005-0000-0000-00001B0A0000}"/>
    <cellStyle name="Comma 4 4 6 2 2" xfId="8009" xr:uid="{00000000-0005-0000-0000-00001C0A0000}"/>
    <cellStyle name="Comma 4 4 6 2 2 2" xfId="16459" xr:uid="{11AAF44E-E967-49DD-979B-DF7954E71CC6}"/>
    <cellStyle name="Comma 4 4 6 2 3" xfId="12241" xr:uid="{805E0131-904E-4354-8B41-3A4106C8FDD7}"/>
    <cellStyle name="Comma 4 4 6 3" xfId="5864" xr:uid="{00000000-0005-0000-0000-00001D0A0000}"/>
    <cellStyle name="Comma 4 4 6 3 2" xfId="14314" xr:uid="{FDC8FE59-AF0A-46B2-98AC-566D0C109632}"/>
    <cellStyle name="Comma 4 4 6 4" xfId="10096" xr:uid="{DD3FBC5F-95F4-4FDD-AA80-F023C9CE4B85}"/>
    <cellStyle name="Comma 4 4 7" xfId="1971" xr:uid="{00000000-0005-0000-0000-00001E0A0000}"/>
    <cellStyle name="Comma 4 4 7 2" xfId="4200" xr:uid="{00000000-0005-0000-0000-00001F0A0000}"/>
    <cellStyle name="Comma 4 4 7 2 2" xfId="8422" xr:uid="{00000000-0005-0000-0000-0000200A0000}"/>
    <cellStyle name="Comma 4 4 7 2 2 2" xfId="16872" xr:uid="{F338A03E-0765-4944-B76F-737B8AD1827D}"/>
    <cellStyle name="Comma 4 4 7 2 3" xfId="12654" xr:uid="{205B640F-4DF3-4E02-9E9D-3A30076C6E01}"/>
    <cellStyle name="Comma 4 4 7 3" xfId="6277" xr:uid="{00000000-0005-0000-0000-0000210A0000}"/>
    <cellStyle name="Comma 4 4 7 3 2" xfId="14727" xr:uid="{4EA17B16-DE47-499D-9513-D1480CC67EE3}"/>
    <cellStyle name="Comma 4 4 7 4" xfId="10509" xr:uid="{B4E293AC-49A2-4708-BE35-D6BB42C736CA}"/>
    <cellStyle name="Comma 4 4 8" xfId="2406" xr:uid="{00000000-0005-0000-0000-0000220A0000}"/>
    <cellStyle name="Comma 4 4 8 2" xfId="6690" xr:uid="{00000000-0005-0000-0000-0000230A0000}"/>
    <cellStyle name="Comma 4 4 8 2 2" xfId="15140" xr:uid="{AE467884-E3B0-4608-9990-9F6100D1F295}"/>
    <cellStyle name="Comma 4 4 8 3" xfId="10922" xr:uid="{EAFC1C3F-13E3-4395-9AA2-541A1B690E87}"/>
    <cellStyle name="Comma 4 4 9" xfId="2702" xr:uid="{00000000-0005-0000-0000-0000240A0000}"/>
    <cellStyle name="Comma 4 5" xfId="157" xr:uid="{00000000-0005-0000-0000-0000250A0000}"/>
    <cellStyle name="Comma 4 5 10" xfId="4628" xr:uid="{00000000-0005-0000-0000-0000260A0000}"/>
    <cellStyle name="Comma 4 5 10 2" xfId="13078" xr:uid="{D013399E-A50F-4D34-BF04-B6C8AC8034D8}"/>
    <cellStyle name="Comma 4 5 11" xfId="8860" xr:uid="{C16BCFAB-7F5F-49E0-8CEA-E14B5E3C27D1}"/>
    <cellStyle name="Comma 4 5 2" xfId="158" xr:uid="{00000000-0005-0000-0000-0000270A0000}"/>
    <cellStyle name="Comma 4 5 2 10" xfId="8861" xr:uid="{D9638E92-76BB-4056-B7DB-FC31EA10AEBB}"/>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2CE808DE-DEAA-4BF6-9A5A-399365EE473E}"/>
    <cellStyle name="Comma 4 5 2 2 2 3" xfId="11420" xr:uid="{FEA6B2D4-8A06-47C6-BE0D-CA40BD9A7F9A}"/>
    <cellStyle name="Comma 4 5 2 2 3" xfId="5043" xr:uid="{00000000-0005-0000-0000-00002B0A0000}"/>
    <cellStyle name="Comma 4 5 2 2 3 2" xfId="13493" xr:uid="{3D5B1CF9-F492-45E6-9426-E3FE9E102B40}"/>
    <cellStyle name="Comma 4 5 2 2 4" xfId="9275" xr:uid="{2D4F4C9A-5E41-4024-A7EA-27AA33849F92}"/>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02C57356-BFB5-4E0E-97E6-7E9D8E6A8B58}"/>
    <cellStyle name="Comma 4 5 2 3 2 3" xfId="11833" xr:uid="{3DC4913D-20D8-42C6-8F9B-F422425806A3}"/>
    <cellStyle name="Comma 4 5 2 3 3" xfId="5456" xr:uid="{00000000-0005-0000-0000-00002F0A0000}"/>
    <cellStyle name="Comma 4 5 2 3 3 2" xfId="13906" xr:uid="{0FBB3388-96A2-48AD-AFC2-1701A36099A6}"/>
    <cellStyle name="Comma 4 5 2 3 4" xfId="9688" xr:uid="{C684FA03-A851-4ADA-BD78-D0A2002705D7}"/>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96B6F9AC-1DE5-477A-84FC-068E055AEC89}"/>
    <cellStyle name="Comma 4 5 2 4 2 3" xfId="12246" xr:uid="{A1948916-C7B8-41F2-BB16-22140068B152}"/>
    <cellStyle name="Comma 4 5 2 4 3" xfId="5869" xr:uid="{00000000-0005-0000-0000-0000330A0000}"/>
    <cellStyle name="Comma 4 5 2 4 3 2" xfId="14319" xr:uid="{C9EBD765-1BE2-47EA-85F9-04D22D78A829}"/>
    <cellStyle name="Comma 4 5 2 4 4" xfId="10101" xr:uid="{91324C1F-53D7-492A-B816-98CFE11CF927}"/>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8E2363EB-488F-4C89-B6EA-16CEC9B90E7B}"/>
    <cellStyle name="Comma 4 5 2 5 2 3" xfId="12659" xr:uid="{0C52DE6D-BFB2-4B05-95A6-C388F53ECB35}"/>
    <cellStyle name="Comma 4 5 2 5 3" xfId="6282" xr:uid="{00000000-0005-0000-0000-0000370A0000}"/>
    <cellStyle name="Comma 4 5 2 5 3 2" xfId="14732" xr:uid="{9A6BB466-7E05-4018-AB46-7FBBEC1FE6B5}"/>
    <cellStyle name="Comma 4 5 2 5 4" xfId="10514" xr:uid="{E2EEC473-3EFD-4481-A3B6-DAF4D067B9A3}"/>
    <cellStyle name="Comma 4 5 2 6" xfId="2411" xr:uid="{00000000-0005-0000-0000-0000380A0000}"/>
    <cellStyle name="Comma 4 5 2 6 2" xfId="6695" xr:uid="{00000000-0005-0000-0000-0000390A0000}"/>
    <cellStyle name="Comma 4 5 2 6 2 2" xfId="15145" xr:uid="{2CD6B0A0-C316-4942-B250-4804C4C49306}"/>
    <cellStyle name="Comma 4 5 2 6 3" xfId="10927" xr:uid="{63D3A18B-D730-41D5-8E1F-A2720D93BBF2}"/>
    <cellStyle name="Comma 4 5 2 7" xfId="2707" xr:uid="{00000000-0005-0000-0000-00003A0A0000}"/>
    <cellStyle name="Comma 4 5 2 8" xfId="2789" xr:uid="{00000000-0005-0000-0000-00003B0A0000}"/>
    <cellStyle name="Comma 4 5 2 8 2" xfId="7012" xr:uid="{00000000-0005-0000-0000-00003C0A0000}"/>
    <cellStyle name="Comma 4 5 2 8 2 2" xfId="15462" xr:uid="{775EA669-B78F-4B98-B11A-BEB2E79BB717}"/>
    <cellStyle name="Comma 4 5 2 8 3" xfId="11244" xr:uid="{2E08E8E9-0863-4F79-806E-07298ED69EF6}"/>
    <cellStyle name="Comma 4 5 2 9" xfId="4629" xr:uid="{00000000-0005-0000-0000-00003D0A0000}"/>
    <cellStyle name="Comma 4 5 2 9 2" xfId="13079" xr:uid="{C62B4201-3070-4E64-A5D9-A58BA189FAD3}"/>
    <cellStyle name="Comma 4 5 3" xfId="694" xr:uid="{00000000-0005-0000-0000-00003E0A0000}"/>
    <cellStyle name="Comma 4 5 3 2" xfId="2965" xr:uid="{00000000-0005-0000-0000-00003F0A0000}"/>
    <cellStyle name="Comma 4 5 3 2 2" xfId="7187" xr:uid="{00000000-0005-0000-0000-0000400A0000}"/>
    <cellStyle name="Comma 4 5 3 2 2 2" xfId="15637" xr:uid="{531D59D7-2CA3-4F5A-8975-8A431703A2D3}"/>
    <cellStyle name="Comma 4 5 3 2 3" xfId="11419" xr:uid="{A1D62C5A-C9DD-4344-AD01-9A9FD9B47D51}"/>
    <cellStyle name="Comma 4 5 3 3" xfId="5042" xr:uid="{00000000-0005-0000-0000-0000410A0000}"/>
    <cellStyle name="Comma 4 5 3 3 2" xfId="13492" xr:uid="{C7516CD5-D65A-4C43-B0DB-32EC6E574388}"/>
    <cellStyle name="Comma 4 5 3 4" xfId="9274" xr:uid="{35929384-0DAD-4A24-9B41-FAC06AE52BD8}"/>
    <cellStyle name="Comma 4 5 4" xfId="1147" xr:uid="{00000000-0005-0000-0000-0000420A0000}"/>
    <cellStyle name="Comma 4 5 4 2" xfId="3378" xr:uid="{00000000-0005-0000-0000-0000430A0000}"/>
    <cellStyle name="Comma 4 5 4 2 2" xfId="7600" xr:uid="{00000000-0005-0000-0000-0000440A0000}"/>
    <cellStyle name="Comma 4 5 4 2 2 2" xfId="16050" xr:uid="{9ECE9528-2F91-43C9-A13B-E991DD695F0E}"/>
    <cellStyle name="Comma 4 5 4 2 3" xfId="11832" xr:uid="{9F61C621-D78A-46A7-8FB4-136B6556BFD4}"/>
    <cellStyle name="Comma 4 5 4 3" xfId="5455" xr:uid="{00000000-0005-0000-0000-0000450A0000}"/>
    <cellStyle name="Comma 4 5 4 3 2" xfId="13905" xr:uid="{850C50BA-AFC6-479C-827D-802F301C7A26}"/>
    <cellStyle name="Comma 4 5 4 4" xfId="9687" xr:uid="{758AB6A9-7F7D-41D6-A58D-7FAF31540795}"/>
    <cellStyle name="Comma 4 5 5" xfId="1561" xr:uid="{00000000-0005-0000-0000-0000460A0000}"/>
    <cellStyle name="Comma 4 5 5 2" xfId="3791" xr:uid="{00000000-0005-0000-0000-0000470A0000}"/>
    <cellStyle name="Comma 4 5 5 2 2" xfId="8013" xr:uid="{00000000-0005-0000-0000-0000480A0000}"/>
    <cellStyle name="Comma 4 5 5 2 2 2" xfId="16463" xr:uid="{36777E26-D793-48FE-BF06-4D15A1CD55A1}"/>
    <cellStyle name="Comma 4 5 5 2 3" xfId="12245" xr:uid="{6CCB3C9B-356E-42C9-BCA5-5D8EBF45A8CC}"/>
    <cellStyle name="Comma 4 5 5 3" xfId="5868" xr:uid="{00000000-0005-0000-0000-0000490A0000}"/>
    <cellStyle name="Comma 4 5 5 3 2" xfId="14318" xr:uid="{3B6A50E7-1AF2-4C70-B6E8-3B1EC88A06A0}"/>
    <cellStyle name="Comma 4 5 5 4" xfId="10100" xr:uid="{1B9AB488-A641-48C8-BEFC-8C228C88BFC5}"/>
    <cellStyle name="Comma 4 5 6" xfId="1975" xr:uid="{00000000-0005-0000-0000-00004A0A0000}"/>
    <cellStyle name="Comma 4 5 6 2" xfId="4204" xr:uid="{00000000-0005-0000-0000-00004B0A0000}"/>
    <cellStyle name="Comma 4 5 6 2 2" xfId="8426" xr:uid="{00000000-0005-0000-0000-00004C0A0000}"/>
    <cellStyle name="Comma 4 5 6 2 2 2" xfId="16876" xr:uid="{C79C7CC9-CC9F-41C8-979D-D991DBC1675B}"/>
    <cellStyle name="Comma 4 5 6 2 3" xfId="12658" xr:uid="{014771ED-EE7C-49EB-8DCC-4636462CF562}"/>
    <cellStyle name="Comma 4 5 6 3" xfId="6281" xr:uid="{00000000-0005-0000-0000-00004D0A0000}"/>
    <cellStyle name="Comma 4 5 6 3 2" xfId="14731" xr:uid="{FD198129-0245-4777-99F7-7E413075D56D}"/>
    <cellStyle name="Comma 4 5 6 4" xfId="10513" xr:uid="{0AC2FD41-B3EE-4F07-B2F1-2AD54B71FFDF}"/>
    <cellStyle name="Comma 4 5 7" xfId="2410" xr:uid="{00000000-0005-0000-0000-00004E0A0000}"/>
    <cellStyle name="Comma 4 5 7 2" xfId="6694" xr:uid="{00000000-0005-0000-0000-00004F0A0000}"/>
    <cellStyle name="Comma 4 5 7 2 2" xfId="15144" xr:uid="{38EEEAF8-F8B1-4470-8FFB-9B806F40A550}"/>
    <cellStyle name="Comma 4 5 7 3" xfId="10926" xr:uid="{947BF4F8-BA65-4C97-AD51-918F75D23CF3}"/>
    <cellStyle name="Comma 4 5 8" xfId="2706" xr:uid="{00000000-0005-0000-0000-0000500A0000}"/>
    <cellStyle name="Comma 4 5 9" xfId="2788" xr:uid="{00000000-0005-0000-0000-0000510A0000}"/>
    <cellStyle name="Comma 4 5 9 2" xfId="7011" xr:uid="{00000000-0005-0000-0000-0000520A0000}"/>
    <cellStyle name="Comma 4 5 9 2 2" xfId="15461" xr:uid="{5E4653E4-A176-4010-981C-55D7A1B1DB23}"/>
    <cellStyle name="Comma 4 5 9 3" xfId="11243" xr:uid="{A9DBD516-1064-4505-A8EA-0D6676853E4C}"/>
    <cellStyle name="Comma 4 6" xfId="159" xr:uid="{00000000-0005-0000-0000-0000530A0000}"/>
    <cellStyle name="Comma 4 6 10" xfId="8862" xr:uid="{F5EB775B-863C-4490-B5E7-935B7584B61D}"/>
    <cellStyle name="Comma 4 6 2" xfId="696" xr:uid="{00000000-0005-0000-0000-0000540A0000}"/>
    <cellStyle name="Comma 4 6 2 2" xfId="2967" xr:uid="{00000000-0005-0000-0000-0000550A0000}"/>
    <cellStyle name="Comma 4 6 2 2 2" xfId="7189" xr:uid="{00000000-0005-0000-0000-0000560A0000}"/>
    <cellStyle name="Comma 4 6 2 2 2 2" xfId="15639" xr:uid="{D2D03E9D-3ACF-4089-88D9-EB6BEDE409FA}"/>
    <cellStyle name="Comma 4 6 2 2 3" xfId="11421" xr:uid="{B41A7A92-4284-49FA-9DF3-D3A93B5A84F0}"/>
    <cellStyle name="Comma 4 6 2 3" xfId="5044" xr:uid="{00000000-0005-0000-0000-0000570A0000}"/>
    <cellStyle name="Comma 4 6 2 3 2" xfId="13494" xr:uid="{365BE40F-DF6C-4CB9-8671-B329323F7CB8}"/>
    <cellStyle name="Comma 4 6 2 4" xfId="9276" xr:uid="{67B25332-E869-4ADD-B84A-E37408A6A8C2}"/>
    <cellStyle name="Comma 4 6 3" xfId="1149" xr:uid="{00000000-0005-0000-0000-0000580A0000}"/>
    <cellStyle name="Comma 4 6 3 2" xfId="3380" xr:uid="{00000000-0005-0000-0000-0000590A0000}"/>
    <cellStyle name="Comma 4 6 3 2 2" xfId="7602" xr:uid="{00000000-0005-0000-0000-00005A0A0000}"/>
    <cellStyle name="Comma 4 6 3 2 2 2" xfId="16052" xr:uid="{67B8140D-D4D2-4F42-92E6-1457736944F5}"/>
    <cellStyle name="Comma 4 6 3 2 3" xfId="11834" xr:uid="{1B12DD88-10A1-4835-B1EA-6811D5F50295}"/>
    <cellStyle name="Comma 4 6 3 3" xfId="5457" xr:uid="{00000000-0005-0000-0000-00005B0A0000}"/>
    <cellStyle name="Comma 4 6 3 3 2" xfId="13907" xr:uid="{20C81761-FC82-4ABD-BC39-1E37EA9DF848}"/>
    <cellStyle name="Comma 4 6 3 4" xfId="9689" xr:uid="{DA6F1395-69B0-4332-BA49-4F4A433D8F77}"/>
    <cellStyle name="Comma 4 6 4" xfId="1563" xr:uid="{00000000-0005-0000-0000-00005C0A0000}"/>
    <cellStyle name="Comma 4 6 4 2" xfId="3793" xr:uid="{00000000-0005-0000-0000-00005D0A0000}"/>
    <cellStyle name="Comma 4 6 4 2 2" xfId="8015" xr:uid="{00000000-0005-0000-0000-00005E0A0000}"/>
    <cellStyle name="Comma 4 6 4 2 2 2" xfId="16465" xr:uid="{BE3D752E-8C11-4D37-BB8C-0ADF2966D73C}"/>
    <cellStyle name="Comma 4 6 4 2 3" xfId="12247" xr:uid="{B729FF69-DD03-46F3-BED1-A768E305F759}"/>
    <cellStyle name="Comma 4 6 4 3" xfId="5870" xr:uid="{00000000-0005-0000-0000-00005F0A0000}"/>
    <cellStyle name="Comma 4 6 4 3 2" xfId="14320" xr:uid="{D4E13981-8AE3-4822-A0A5-085AD0417961}"/>
    <cellStyle name="Comma 4 6 4 4" xfId="10102" xr:uid="{D0924E28-A36C-49C8-8BC4-5C54D25415DA}"/>
    <cellStyle name="Comma 4 6 5" xfId="1977" xr:uid="{00000000-0005-0000-0000-0000600A0000}"/>
    <cellStyle name="Comma 4 6 5 2" xfId="4206" xr:uid="{00000000-0005-0000-0000-0000610A0000}"/>
    <cellStyle name="Comma 4 6 5 2 2" xfId="8428" xr:uid="{00000000-0005-0000-0000-0000620A0000}"/>
    <cellStyle name="Comma 4 6 5 2 2 2" xfId="16878" xr:uid="{451B9A03-3CEE-4715-A1E7-EFBA6D14AEB0}"/>
    <cellStyle name="Comma 4 6 5 2 3" xfId="12660" xr:uid="{890D203A-E5D0-427F-A32E-16670F54D694}"/>
    <cellStyle name="Comma 4 6 5 3" xfId="6283" xr:uid="{00000000-0005-0000-0000-0000630A0000}"/>
    <cellStyle name="Comma 4 6 5 3 2" xfId="14733" xr:uid="{55248D60-0BC1-4F92-8DEA-8C0B52D8AA2F}"/>
    <cellStyle name="Comma 4 6 5 4" xfId="10515" xr:uid="{46BBA0FF-F848-4AA4-A773-FF04A633A0C3}"/>
    <cellStyle name="Comma 4 6 6" xfId="2412" xr:uid="{00000000-0005-0000-0000-0000640A0000}"/>
    <cellStyle name="Comma 4 6 6 2" xfId="6696" xr:uid="{00000000-0005-0000-0000-0000650A0000}"/>
    <cellStyle name="Comma 4 6 6 2 2" xfId="15146" xr:uid="{19AA7A7D-8FD8-4B23-8491-C0944E7CFDD1}"/>
    <cellStyle name="Comma 4 6 6 3" xfId="10928" xr:uid="{2E9156A1-15F7-4849-8CB6-E0E360826C7C}"/>
    <cellStyle name="Comma 4 6 7" xfId="2708" xr:uid="{00000000-0005-0000-0000-0000660A0000}"/>
    <cellStyle name="Comma 4 6 8" xfId="2790" xr:uid="{00000000-0005-0000-0000-0000670A0000}"/>
    <cellStyle name="Comma 4 6 8 2" xfId="7013" xr:uid="{00000000-0005-0000-0000-0000680A0000}"/>
    <cellStyle name="Comma 4 6 8 2 2" xfId="15463" xr:uid="{DCAE7ADC-7D18-4477-9792-25B4B7A55C87}"/>
    <cellStyle name="Comma 4 6 8 3" xfId="11245" xr:uid="{E8A60554-37C2-4E38-865F-9BC63171EE56}"/>
    <cellStyle name="Comma 4 6 9" xfId="4630" xr:uid="{00000000-0005-0000-0000-0000690A0000}"/>
    <cellStyle name="Comma 4 6 9 2" xfId="13080" xr:uid="{2F65AA02-7C64-4BC8-A511-DBB1F686D6A5}"/>
    <cellStyle name="Comma 4 7" xfId="160" xr:uid="{00000000-0005-0000-0000-00006A0A0000}"/>
    <cellStyle name="Comma 4 7 10" xfId="8863" xr:uid="{9D2EAF14-9E3A-468B-AA7D-14E53C4BCD02}"/>
    <cellStyle name="Comma 4 7 2" xfId="697" xr:uid="{00000000-0005-0000-0000-00006B0A0000}"/>
    <cellStyle name="Comma 4 7 2 2" xfId="2968" xr:uid="{00000000-0005-0000-0000-00006C0A0000}"/>
    <cellStyle name="Comma 4 7 2 2 2" xfId="7190" xr:uid="{00000000-0005-0000-0000-00006D0A0000}"/>
    <cellStyle name="Comma 4 7 2 2 2 2" xfId="15640" xr:uid="{ABDB135B-E0B8-4589-949C-0EE6C8779506}"/>
    <cellStyle name="Comma 4 7 2 2 3" xfId="11422" xr:uid="{57658EED-AC62-4E22-BDFD-A19A4DD1623A}"/>
    <cellStyle name="Comma 4 7 2 3" xfId="5045" xr:uid="{00000000-0005-0000-0000-00006E0A0000}"/>
    <cellStyle name="Comma 4 7 2 3 2" xfId="13495" xr:uid="{A5E2B5FF-2EFF-4C82-852C-48D55CB430C5}"/>
    <cellStyle name="Comma 4 7 2 4" xfId="9277" xr:uid="{73255523-1BE2-451F-80E9-2AED55685A2B}"/>
    <cellStyle name="Comma 4 7 3" xfId="1150" xr:uid="{00000000-0005-0000-0000-00006F0A0000}"/>
    <cellStyle name="Comma 4 7 3 2" xfId="3381" xr:uid="{00000000-0005-0000-0000-0000700A0000}"/>
    <cellStyle name="Comma 4 7 3 2 2" xfId="7603" xr:uid="{00000000-0005-0000-0000-0000710A0000}"/>
    <cellStyle name="Comma 4 7 3 2 2 2" xfId="16053" xr:uid="{424F2D7B-5807-4E49-8061-AF7F7D0286D2}"/>
    <cellStyle name="Comma 4 7 3 2 3" xfId="11835" xr:uid="{D62646E6-5776-4E35-9486-8E4230DBCFC1}"/>
    <cellStyle name="Comma 4 7 3 3" xfId="5458" xr:uid="{00000000-0005-0000-0000-0000720A0000}"/>
    <cellStyle name="Comma 4 7 3 3 2" xfId="13908" xr:uid="{DA28260A-B842-424B-852B-C594E62B44F3}"/>
    <cellStyle name="Comma 4 7 3 4" xfId="9690" xr:uid="{1C866B0F-DC3E-4F55-9E36-16425B2E6D93}"/>
    <cellStyle name="Comma 4 7 4" xfId="1564" xr:uid="{00000000-0005-0000-0000-0000730A0000}"/>
    <cellStyle name="Comma 4 7 4 2" xfId="3794" xr:uid="{00000000-0005-0000-0000-0000740A0000}"/>
    <cellStyle name="Comma 4 7 4 2 2" xfId="8016" xr:uid="{00000000-0005-0000-0000-0000750A0000}"/>
    <cellStyle name="Comma 4 7 4 2 2 2" xfId="16466" xr:uid="{A86890A8-251D-404B-9741-1FEB27B410FD}"/>
    <cellStyle name="Comma 4 7 4 2 3" xfId="12248" xr:uid="{BD6D10C1-77D9-4CE2-B176-D08B62631095}"/>
    <cellStyle name="Comma 4 7 4 3" xfId="5871" xr:uid="{00000000-0005-0000-0000-0000760A0000}"/>
    <cellStyle name="Comma 4 7 4 3 2" xfId="14321" xr:uid="{516FA48C-302B-47A9-9B26-4E2B395AC6D9}"/>
    <cellStyle name="Comma 4 7 4 4" xfId="10103" xr:uid="{A65D3907-D5A1-4B62-8BA4-E2AAC7C8D212}"/>
    <cellStyle name="Comma 4 7 5" xfId="1978" xr:uid="{00000000-0005-0000-0000-0000770A0000}"/>
    <cellStyle name="Comma 4 7 5 2" xfId="4207" xr:uid="{00000000-0005-0000-0000-0000780A0000}"/>
    <cellStyle name="Comma 4 7 5 2 2" xfId="8429" xr:uid="{00000000-0005-0000-0000-0000790A0000}"/>
    <cellStyle name="Comma 4 7 5 2 2 2" xfId="16879" xr:uid="{4BB99EB9-3A33-4BE1-9ED0-69510C4D9F5E}"/>
    <cellStyle name="Comma 4 7 5 2 3" xfId="12661" xr:uid="{4CC3B5BB-B330-42EF-9664-8CD771CDFD8C}"/>
    <cellStyle name="Comma 4 7 5 3" xfId="6284" xr:uid="{00000000-0005-0000-0000-00007A0A0000}"/>
    <cellStyle name="Comma 4 7 5 3 2" xfId="14734" xr:uid="{C6C4A702-BE2C-4859-93BE-93B6B265B959}"/>
    <cellStyle name="Comma 4 7 5 4" xfId="10516" xr:uid="{2DFB4158-E4FF-47F9-9769-6C00CF012663}"/>
    <cellStyle name="Comma 4 7 6" xfId="2413" xr:uid="{00000000-0005-0000-0000-00007B0A0000}"/>
    <cellStyle name="Comma 4 7 6 2" xfId="6697" xr:uid="{00000000-0005-0000-0000-00007C0A0000}"/>
    <cellStyle name="Comma 4 7 6 2 2" xfId="15147" xr:uid="{602E69EB-3365-48F8-B40C-CDF2054BEDC8}"/>
    <cellStyle name="Comma 4 7 6 3" xfId="10929" xr:uid="{001D7466-3233-4ACE-9E0C-3B3492CCF55E}"/>
    <cellStyle name="Comma 4 7 7" xfId="2709" xr:uid="{00000000-0005-0000-0000-00007D0A0000}"/>
    <cellStyle name="Comma 4 7 8" xfId="2791" xr:uid="{00000000-0005-0000-0000-00007E0A0000}"/>
    <cellStyle name="Comma 4 7 8 2" xfId="7014" xr:uid="{00000000-0005-0000-0000-00007F0A0000}"/>
    <cellStyle name="Comma 4 7 8 2 2" xfId="15464" xr:uid="{42202ECA-2502-4038-ADAC-519F1AA15B5C}"/>
    <cellStyle name="Comma 4 7 8 3" xfId="11246" xr:uid="{9261A449-9003-4A6E-9072-6883BEB76EAD}"/>
    <cellStyle name="Comma 4 7 9" xfId="4631" xr:uid="{00000000-0005-0000-0000-0000800A0000}"/>
    <cellStyle name="Comma 4 7 9 2" xfId="13081" xr:uid="{7FBCB03C-DB98-4486-B6AE-CB19BCA10E69}"/>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9" xr:uid="{91C37045-5B48-4A54-89C1-D9D6523C18E2}"/>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06D89248-8FC5-4222-B113-574F992ED7FC}"/>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17182" xr:uid="{98F632E5-3EBC-42BB-977F-A1A552076A9E}"/>
    <cellStyle name="Currency 14 3 2 2 2 3" xfId="17179" xr:uid="{422B3518-F38D-4A38-BB0F-285A5F5AE7C1}"/>
    <cellStyle name="Currency 14 3 2 2 3" xfId="17175" xr:uid="{EAD75B7F-7B2A-456D-8CC1-CBA2F29DBA74}"/>
    <cellStyle name="Currency 14 3 2 3" xfId="17172" xr:uid="{3B6D327E-D17D-498C-8411-09CB689DDED3}"/>
    <cellStyle name="Currency 14 3 3" xfId="17169" xr:uid="{F84FCD0A-DF0F-4167-9DDC-76EF23B9933F}"/>
    <cellStyle name="Currency 14 4" xfId="12952" xr:uid="{4D8CCD3F-BA8C-41A2-AF5C-87CF1E17F68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0F33EA17-D277-451A-A24E-527E252CDFB0}"/>
    <cellStyle name="Currency 3 2 2 10 3" xfId="11247" xr:uid="{BA0F31F1-379C-4D04-8205-1BB19B37B8D0}"/>
    <cellStyle name="Currency 3 2 2 11" xfId="4632" xr:uid="{00000000-0005-0000-0000-0000A50A0000}"/>
    <cellStyle name="Currency 3 2 2 11 2" xfId="13082" xr:uid="{85C2D82E-E68F-4FF0-9E03-A367F419EF8D}"/>
    <cellStyle name="Currency 3 2 2 12" xfId="8864" xr:uid="{434C52EA-E262-4A37-A77E-2D24B26BBC4F}"/>
    <cellStyle name="Currency 3 2 2 2" xfId="179" xr:uid="{00000000-0005-0000-0000-0000A60A0000}"/>
    <cellStyle name="Currency 3 2 2 2 10" xfId="4633" xr:uid="{00000000-0005-0000-0000-0000A70A0000}"/>
    <cellStyle name="Currency 3 2 2 2 10 2" xfId="13083" xr:uid="{95CB87B0-3228-4CBD-BF14-FC924B55C111}"/>
    <cellStyle name="Currency 3 2 2 2 11" xfId="8865" xr:uid="{6DE9C2E6-5678-47AB-9B1D-BA30B981C3F6}"/>
    <cellStyle name="Currency 3 2 2 2 2" xfId="180" xr:uid="{00000000-0005-0000-0000-0000A80A0000}"/>
    <cellStyle name="Currency 3 2 2 2 2 10" xfId="8866" xr:uid="{E497DD32-15C6-4D29-8013-2020BEE0F55E}"/>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2285D919-259E-4214-9E60-022DDA4C3BF2}"/>
    <cellStyle name="Currency 3 2 2 2 2 2 2 3" xfId="11425" xr:uid="{677D60D9-DBD9-425E-B527-52A2980018C7}"/>
    <cellStyle name="Currency 3 2 2 2 2 2 3" xfId="5048" xr:uid="{00000000-0005-0000-0000-0000AC0A0000}"/>
    <cellStyle name="Currency 3 2 2 2 2 2 3 2" xfId="13498" xr:uid="{2F92D596-D1E5-4A68-928B-24686FD121ED}"/>
    <cellStyle name="Currency 3 2 2 2 2 2 4" xfId="9280" xr:uid="{F614D984-EB5E-421E-B897-5B3AD9273BE3}"/>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39C61177-A3B4-4867-A359-463B37EF9AC0}"/>
    <cellStyle name="Currency 3 2 2 2 2 3 2 3" xfId="11838" xr:uid="{FA7738B1-6F72-430F-8F3E-DB2C0ED93420}"/>
    <cellStyle name="Currency 3 2 2 2 2 3 3" xfId="5461" xr:uid="{00000000-0005-0000-0000-0000B00A0000}"/>
    <cellStyle name="Currency 3 2 2 2 2 3 3 2" xfId="13911" xr:uid="{EE06257C-EBC9-46B3-993F-D43F6512F085}"/>
    <cellStyle name="Currency 3 2 2 2 2 3 4" xfId="9693" xr:uid="{102D8F77-A85E-401C-8C62-5F892D4498EA}"/>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CF324FD7-225D-44BD-9C3F-E4A60248CA44}"/>
    <cellStyle name="Currency 3 2 2 2 2 4 2 3" xfId="12251" xr:uid="{F31EDA19-39BE-46C3-91FF-D270EADBB599}"/>
    <cellStyle name="Currency 3 2 2 2 2 4 3" xfId="5874" xr:uid="{00000000-0005-0000-0000-0000B40A0000}"/>
    <cellStyle name="Currency 3 2 2 2 2 4 3 2" xfId="14324" xr:uid="{9012DBE4-4B3E-44B6-ACDB-BDA959370580}"/>
    <cellStyle name="Currency 3 2 2 2 2 4 4" xfId="10106" xr:uid="{E508ED2E-C777-42E3-AAEC-D13CF50A93CD}"/>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3DE38B99-AC7A-411B-B6C7-B4AC17AA3881}"/>
    <cellStyle name="Currency 3 2 2 2 2 5 2 3" xfId="12664" xr:uid="{028E3DED-5657-40AD-9957-D8A0FF7E7F65}"/>
    <cellStyle name="Currency 3 2 2 2 2 5 3" xfId="6287" xr:uid="{00000000-0005-0000-0000-0000B80A0000}"/>
    <cellStyle name="Currency 3 2 2 2 2 5 3 2" xfId="14737" xr:uid="{46C25355-407F-49E3-92E4-1B9A6A8894AB}"/>
    <cellStyle name="Currency 3 2 2 2 2 5 4" xfId="10519" xr:uid="{EE24FC77-109D-4A26-8ADE-3F1CC9D32860}"/>
    <cellStyle name="Currency 3 2 2 2 2 6" xfId="2416" xr:uid="{00000000-0005-0000-0000-0000B90A0000}"/>
    <cellStyle name="Currency 3 2 2 2 2 6 2" xfId="6700" xr:uid="{00000000-0005-0000-0000-0000BA0A0000}"/>
    <cellStyle name="Currency 3 2 2 2 2 6 2 2" xfId="15150" xr:uid="{521C551A-03EB-4F76-A0B8-3699474BE23C}"/>
    <cellStyle name="Currency 3 2 2 2 2 6 3" xfId="10932" xr:uid="{44E30A25-52E2-4355-9431-750C3008DC47}"/>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DCAD3B7B-8230-4CAC-8717-8738E61AE29C}"/>
    <cellStyle name="Currency 3 2 2 2 2 8 3" xfId="11249" xr:uid="{FDCD188E-5176-48ED-9B83-87765ED6B9B1}"/>
    <cellStyle name="Currency 3 2 2 2 2 9" xfId="4634" xr:uid="{00000000-0005-0000-0000-0000BE0A0000}"/>
    <cellStyle name="Currency 3 2 2 2 2 9 2" xfId="13084" xr:uid="{F9BBD807-0034-4688-9630-F1BD41BA18D2}"/>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BC015675-BB0E-4EFB-9A3B-0E29ECB528E0}"/>
    <cellStyle name="Currency 3 2 2 2 3 2 3" xfId="11424" xr:uid="{4ADE8CCF-CED1-444D-94CC-329CFBA6717E}"/>
    <cellStyle name="Currency 3 2 2 2 3 3" xfId="5047" xr:uid="{00000000-0005-0000-0000-0000C20A0000}"/>
    <cellStyle name="Currency 3 2 2 2 3 3 2" xfId="13497" xr:uid="{36F6679D-02C6-4A72-B95A-C42DFE9D6C2E}"/>
    <cellStyle name="Currency 3 2 2 2 3 4" xfId="9279" xr:uid="{2CEE8406-FC49-4D87-AA19-E3A0C7FF8D28}"/>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59A3082D-E821-4E19-A02D-8509B363579C}"/>
    <cellStyle name="Currency 3 2 2 2 4 2 3" xfId="11837" xr:uid="{7142E21D-D75D-4661-8077-E5A1BBF9DBDD}"/>
    <cellStyle name="Currency 3 2 2 2 4 3" xfId="5460" xr:uid="{00000000-0005-0000-0000-0000C60A0000}"/>
    <cellStyle name="Currency 3 2 2 2 4 3 2" xfId="13910" xr:uid="{BD28E2B3-5E17-414D-A521-AB0C4DC4AB7E}"/>
    <cellStyle name="Currency 3 2 2 2 4 4" xfId="9692" xr:uid="{F7059707-25E6-4C27-89DC-A5B7164CD7BD}"/>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717C8CFF-7B8B-4E83-9873-E19FF40345B5}"/>
    <cellStyle name="Currency 3 2 2 2 5 2 3" xfId="12250" xr:uid="{A9FDD031-0FC8-4A05-B313-01908307FCBA}"/>
    <cellStyle name="Currency 3 2 2 2 5 3" xfId="5873" xr:uid="{00000000-0005-0000-0000-0000CA0A0000}"/>
    <cellStyle name="Currency 3 2 2 2 5 3 2" xfId="14323" xr:uid="{06A698F5-4801-4B01-9531-1F048CAF4E15}"/>
    <cellStyle name="Currency 3 2 2 2 5 4" xfId="10105" xr:uid="{8E21E8C3-C641-4B7D-8935-6A148D932532}"/>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910AE109-DB81-4994-B2A5-2781DFAB01BF}"/>
    <cellStyle name="Currency 3 2 2 2 6 2 3" xfId="12663" xr:uid="{57DCCD3A-CE59-4EED-8954-12146B12D114}"/>
    <cellStyle name="Currency 3 2 2 2 6 3" xfId="6286" xr:uid="{00000000-0005-0000-0000-0000CE0A0000}"/>
    <cellStyle name="Currency 3 2 2 2 6 3 2" xfId="14736" xr:uid="{8DFB94B0-AEF7-4A22-B9A1-B18080F0F6D5}"/>
    <cellStyle name="Currency 3 2 2 2 6 4" xfId="10518" xr:uid="{01D7D0AC-5BE3-450F-AA5D-965E18711CCB}"/>
    <cellStyle name="Currency 3 2 2 2 7" xfId="2415" xr:uid="{00000000-0005-0000-0000-0000CF0A0000}"/>
    <cellStyle name="Currency 3 2 2 2 7 2" xfId="6699" xr:uid="{00000000-0005-0000-0000-0000D00A0000}"/>
    <cellStyle name="Currency 3 2 2 2 7 2 2" xfId="15149" xr:uid="{BE696448-9C4A-4497-AA20-3CE4D3E0D61B}"/>
    <cellStyle name="Currency 3 2 2 2 7 3" xfId="10931" xr:uid="{4E6E1609-4E70-494B-B223-1094A809546A}"/>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684FEEFC-E6D7-42C7-AC7E-93FB3BB9D19F}"/>
    <cellStyle name="Currency 3 2 2 2 9 3" xfId="11248" xr:uid="{D4AE2A7D-A7CA-4405-8A10-A4889C84780F}"/>
    <cellStyle name="Currency 3 2 2 3" xfId="181" xr:uid="{00000000-0005-0000-0000-0000D40A0000}"/>
    <cellStyle name="Currency 3 2 2 3 10" xfId="8867" xr:uid="{58199EB2-AD72-420D-BBB7-BA70C5E2249B}"/>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BB1D8901-7732-4E5B-A32A-D23A678B051E}"/>
    <cellStyle name="Currency 3 2 2 3 2 2 3" xfId="11426" xr:uid="{DFE160F2-5F8B-4F05-BA9C-7812EAFB178E}"/>
    <cellStyle name="Currency 3 2 2 3 2 3" xfId="5049" xr:uid="{00000000-0005-0000-0000-0000D80A0000}"/>
    <cellStyle name="Currency 3 2 2 3 2 3 2" xfId="13499" xr:uid="{694D5A12-07BE-41C7-B345-E90637547B35}"/>
    <cellStyle name="Currency 3 2 2 3 2 4" xfId="9281" xr:uid="{F40FB3D3-BB2B-4236-87D4-CAB947FEA6C3}"/>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3FE798C3-6C3C-4937-8608-98F0B0FD091D}"/>
    <cellStyle name="Currency 3 2 2 3 3 2 3" xfId="11839" xr:uid="{6D8521C4-7FE7-4733-B563-39645B04277B}"/>
    <cellStyle name="Currency 3 2 2 3 3 3" xfId="5462" xr:uid="{00000000-0005-0000-0000-0000DC0A0000}"/>
    <cellStyle name="Currency 3 2 2 3 3 3 2" xfId="13912" xr:uid="{0224449E-4CB9-41CB-8599-FADA21BA4D0A}"/>
    <cellStyle name="Currency 3 2 2 3 3 4" xfId="9694" xr:uid="{39508AEA-C896-4F5F-8AE4-647C544E1D87}"/>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F6071C29-3CD6-4A00-81A7-FD0452BCE4CF}"/>
    <cellStyle name="Currency 3 2 2 3 4 2 3" xfId="12252" xr:uid="{7087F9C6-5925-418F-B0C7-B9314799DC17}"/>
    <cellStyle name="Currency 3 2 2 3 4 3" xfId="5875" xr:uid="{00000000-0005-0000-0000-0000E00A0000}"/>
    <cellStyle name="Currency 3 2 2 3 4 3 2" xfId="14325" xr:uid="{94E6611F-E466-40FB-BBFB-0083264E514A}"/>
    <cellStyle name="Currency 3 2 2 3 4 4" xfId="10107" xr:uid="{1152CF55-231C-40EE-8491-391DCDF67C5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F48AF352-6435-498B-8741-DB53FA3E9745}"/>
    <cellStyle name="Currency 3 2 2 3 5 2 3" xfId="12665" xr:uid="{91C9DC15-A8B5-490B-AA90-1027837B6F33}"/>
    <cellStyle name="Currency 3 2 2 3 5 3" xfId="6288" xr:uid="{00000000-0005-0000-0000-0000E40A0000}"/>
    <cellStyle name="Currency 3 2 2 3 5 3 2" xfId="14738" xr:uid="{FA9956DE-5018-48FC-B3D7-F837EDC9116C}"/>
    <cellStyle name="Currency 3 2 2 3 5 4" xfId="10520" xr:uid="{515229D8-6A08-45DF-B511-CCDE7A488F55}"/>
    <cellStyle name="Currency 3 2 2 3 6" xfId="2417" xr:uid="{00000000-0005-0000-0000-0000E50A0000}"/>
    <cellStyle name="Currency 3 2 2 3 6 2" xfId="6701" xr:uid="{00000000-0005-0000-0000-0000E60A0000}"/>
    <cellStyle name="Currency 3 2 2 3 6 2 2" xfId="15151" xr:uid="{CC529ED9-92E1-4BBF-9540-4CEE563EA20B}"/>
    <cellStyle name="Currency 3 2 2 3 6 3" xfId="10933" xr:uid="{CAC2D62A-10B0-43A8-B2BD-8B9E110B7A8F}"/>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D34E3ABD-27E0-465B-9CE9-39FAB9234D65}"/>
    <cellStyle name="Currency 3 2 2 3 8 3" xfId="11250" xr:uid="{9F17B97A-E052-42DD-9153-7690927088F0}"/>
    <cellStyle name="Currency 3 2 2 3 9" xfId="4635" xr:uid="{00000000-0005-0000-0000-0000EA0A0000}"/>
    <cellStyle name="Currency 3 2 2 3 9 2" xfId="13085" xr:uid="{F2AC8BE5-B939-44DB-AF5A-3C3DE6ED34B6}"/>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ED2D3C77-D897-426E-9293-F8D2890E8F15}"/>
    <cellStyle name="Currency 3 2 2 4 2 3" xfId="11423" xr:uid="{BAB78EDE-2F5C-4BAD-ADB7-38C22A251EAE}"/>
    <cellStyle name="Currency 3 2 2 4 3" xfId="5046" xr:uid="{00000000-0005-0000-0000-0000EE0A0000}"/>
    <cellStyle name="Currency 3 2 2 4 3 2" xfId="13496" xr:uid="{7417DD74-3729-47CA-BF28-374B3CCBF4FA}"/>
    <cellStyle name="Currency 3 2 2 4 4" xfId="9278" xr:uid="{2CC30106-22B5-4293-B264-415302F8E74B}"/>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20E0677D-7E41-4983-8175-1A4BB62232FF}"/>
    <cellStyle name="Currency 3 2 2 5 2 3" xfId="11836" xr:uid="{BEA8D395-C169-40D8-A05A-61FD8F83DA04}"/>
    <cellStyle name="Currency 3 2 2 5 3" xfId="5459" xr:uid="{00000000-0005-0000-0000-0000F20A0000}"/>
    <cellStyle name="Currency 3 2 2 5 3 2" xfId="13909" xr:uid="{7A5C2799-96D3-4FD2-9EBD-53F6BEC5C67E}"/>
    <cellStyle name="Currency 3 2 2 5 4" xfId="9691" xr:uid="{C5D33472-C7BB-49F5-BE17-BD5B362B0A36}"/>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7E89CC99-6109-4DD4-9907-8DDB4C2512BC}"/>
    <cellStyle name="Currency 3 2 2 6 2 3" xfId="12249" xr:uid="{A25C7BAC-4529-4F3E-83C1-1E9DAFB6B94D}"/>
    <cellStyle name="Currency 3 2 2 6 3" xfId="5872" xr:uid="{00000000-0005-0000-0000-0000F60A0000}"/>
    <cellStyle name="Currency 3 2 2 6 3 2" xfId="14322" xr:uid="{255F1B54-30C5-4DDC-B588-C61804790A9B}"/>
    <cellStyle name="Currency 3 2 2 6 4" xfId="10104" xr:uid="{A5C59697-0267-4A3F-9539-B1F8B6642723}"/>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A8780DCB-21A7-44A6-B3F0-D6F1093DBE90}"/>
    <cellStyle name="Currency 3 2 2 7 2 3" xfId="12662" xr:uid="{038907A4-74C5-404B-996A-024788992D6C}"/>
    <cellStyle name="Currency 3 2 2 7 3" xfId="6285" xr:uid="{00000000-0005-0000-0000-0000FA0A0000}"/>
    <cellStyle name="Currency 3 2 2 7 3 2" xfId="14735" xr:uid="{1A0E65E3-D67B-46EF-AFE9-F94928FB0CA8}"/>
    <cellStyle name="Currency 3 2 2 7 4" xfId="10517" xr:uid="{E09525A4-A187-4E6D-8E4C-E2E186720C52}"/>
    <cellStyle name="Currency 3 2 2 8" xfId="2414" xr:uid="{00000000-0005-0000-0000-0000FB0A0000}"/>
    <cellStyle name="Currency 3 2 2 8 2" xfId="6698" xr:uid="{00000000-0005-0000-0000-0000FC0A0000}"/>
    <cellStyle name="Currency 3 2 2 8 2 2" xfId="15148" xr:uid="{84A7A204-01D2-4FBE-B08D-556423BCC2FE}"/>
    <cellStyle name="Currency 3 2 2 8 3" xfId="10930" xr:uid="{75A1CE14-9E8A-486D-9242-D8569AB894B4}"/>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A8645729-2D1E-41D0-A867-EE09A034A436}"/>
    <cellStyle name="Currency 3 2 3 11" xfId="8868" xr:uid="{31AF0FFC-AE92-482B-9495-84B859A299D0}"/>
    <cellStyle name="Currency 3 2 3 2" xfId="183" xr:uid="{00000000-0005-0000-0000-0000000B0000}"/>
    <cellStyle name="Currency 3 2 3 2 10" xfId="8869" xr:uid="{BA9FE01E-7950-4FD9-AE01-CE383C47B761}"/>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35C3C4BA-287A-4A6B-9E49-56C9F9348E29}"/>
    <cellStyle name="Currency 3 2 3 2 2 2 3" xfId="11428" xr:uid="{B1F89FED-E6FC-4937-AE4F-BC0F0D45D3B0}"/>
    <cellStyle name="Currency 3 2 3 2 2 3" xfId="5051" xr:uid="{00000000-0005-0000-0000-0000040B0000}"/>
    <cellStyle name="Currency 3 2 3 2 2 3 2" xfId="13501" xr:uid="{43913EA4-21A2-477E-BD73-A681C80F3E82}"/>
    <cellStyle name="Currency 3 2 3 2 2 4" xfId="9283" xr:uid="{5136A738-BBB1-47DC-9B8C-DFDA6D86CC42}"/>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3E6D616A-81C1-454F-80D9-12DFAF336F54}"/>
    <cellStyle name="Currency 3 2 3 2 3 2 3" xfId="11841" xr:uid="{4C93FB6B-5766-4BF6-AA8A-41769CCDA21A}"/>
    <cellStyle name="Currency 3 2 3 2 3 3" xfId="5464" xr:uid="{00000000-0005-0000-0000-0000080B0000}"/>
    <cellStyle name="Currency 3 2 3 2 3 3 2" xfId="13914" xr:uid="{81E9A869-92B5-4B4F-A0FF-9D755BDE4C9E}"/>
    <cellStyle name="Currency 3 2 3 2 3 4" xfId="9696" xr:uid="{F679F52B-2CA8-44EA-837D-32887520CB4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B1E3C08F-406B-4E92-A522-B801B81FC23A}"/>
    <cellStyle name="Currency 3 2 3 2 4 2 3" xfId="12254" xr:uid="{5F180306-97D2-4968-88D8-B9CFF5DDD577}"/>
    <cellStyle name="Currency 3 2 3 2 4 3" xfId="5877" xr:uid="{00000000-0005-0000-0000-00000C0B0000}"/>
    <cellStyle name="Currency 3 2 3 2 4 3 2" xfId="14327" xr:uid="{6B91ACFC-B57E-4C9D-A126-FE736D386674}"/>
    <cellStyle name="Currency 3 2 3 2 4 4" xfId="10109" xr:uid="{BB299765-4F77-420B-9942-29359326D3F1}"/>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CC9AAF59-D955-4328-A476-482FC04DE9FF}"/>
    <cellStyle name="Currency 3 2 3 2 5 2 3" xfId="12667" xr:uid="{C2723E12-4425-459F-9851-8FF6FB92C580}"/>
    <cellStyle name="Currency 3 2 3 2 5 3" xfId="6290" xr:uid="{00000000-0005-0000-0000-0000100B0000}"/>
    <cellStyle name="Currency 3 2 3 2 5 3 2" xfId="14740" xr:uid="{2A07B1F8-0029-4283-AC69-E7AB5204F9A8}"/>
    <cellStyle name="Currency 3 2 3 2 5 4" xfId="10522" xr:uid="{324E29D3-DD28-4505-A53B-27B1E4384E54}"/>
    <cellStyle name="Currency 3 2 3 2 6" xfId="2419" xr:uid="{00000000-0005-0000-0000-0000110B0000}"/>
    <cellStyle name="Currency 3 2 3 2 6 2" xfId="6703" xr:uid="{00000000-0005-0000-0000-0000120B0000}"/>
    <cellStyle name="Currency 3 2 3 2 6 2 2" xfId="15153" xr:uid="{41962859-3DCF-475D-8935-42C313F09048}"/>
    <cellStyle name="Currency 3 2 3 2 6 3" xfId="10935" xr:uid="{1F94C4D9-6A46-4174-A70A-3FAD42ABBE71}"/>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0F38C693-A7E2-4471-8727-C91383F2A1DF}"/>
    <cellStyle name="Currency 3 2 3 2 8 3" xfId="11252" xr:uid="{6A9610B3-A188-4C00-BFB5-2AFBA58BE4E4}"/>
    <cellStyle name="Currency 3 2 3 2 9" xfId="4637" xr:uid="{00000000-0005-0000-0000-0000160B0000}"/>
    <cellStyle name="Currency 3 2 3 2 9 2" xfId="13087" xr:uid="{75997B7F-BB8D-47DB-AA81-A08DAEDBF79D}"/>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9CD5D04B-F053-435B-9F4E-91F21B929F12}"/>
    <cellStyle name="Currency 3 2 3 3 2 3" xfId="11427" xr:uid="{BB16E943-DF7C-49A0-845B-0882F6FC6372}"/>
    <cellStyle name="Currency 3 2 3 3 3" xfId="5050" xr:uid="{00000000-0005-0000-0000-00001A0B0000}"/>
    <cellStyle name="Currency 3 2 3 3 3 2" xfId="13500" xr:uid="{C4399B10-9AFB-402B-9F84-1EBBB079A9A2}"/>
    <cellStyle name="Currency 3 2 3 3 4" xfId="9282" xr:uid="{9C8B82E7-8A3D-4253-8358-16B0E5B3BBAF}"/>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B0CA43FA-D43F-43A2-AABA-86DDB6184120}"/>
    <cellStyle name="Currency 3 2 3 4 2 3" xfId="11840" xr:uid="{678E3DEC-121C-432E-9D87-048799E6A4F4}"/>
    <cellStyle name="Currency 3 2 3 4 3" xfId="5463" xr:uid="{00000000-0005-0000-0000-00001E0B0000}"/>
    <cellStyle name="Currency 3 2 3 4 3 2" xfId="13913" xr:uid="{4966719C-5DBB-4B64-A084-203F0D79148E}"/>
    <cellStyle name="Currency 3 2 3 4 4" xfId="9695" xr:uid="{605B2E84-C9CD-4839-B724-F7F99B9127E5}"/>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4B6B7FD0-3B83-4767-8366-E82B4DC127E0}"/>
    <cellStyle name="Currency 3 2 3 5 2 3" xfId="12253" xr:uid="{6F41EDB5-994C-4E97-BADE-B4E7E033CE91}"/>
    <cellStyle name="Currency 3 2 3 5 3" xfId="5876" xr:uid="{00000000-0005-0000-0000-0000220B0000}"/>
    <cellStyle name="Currency 3 2 3 5 3 2" xfId="14326" xr:uid="{C070522F-089B-4961-ACCC-1F964162CE81}"/>
    <cellStyle name="Currency 3 2 3 5 4" xfId="10108" xr:uid="{08BA18FE-3304-43CA-A2D1-6E23AA4B46EA}"/>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66792874-1C8C-4476-B580-0E3B0E1D4B20}"/>
    <cellStyle name="Currency 3 2 3 6 2 3" xfId="12666" xr:uid="{BE03440A-D5B2-4093-B1A6-26E16F6F5F40}"/>
    <cellStyle name="Currency 3 2 3 6 3" xfId="6289" xr:uid="{00000000-0005-0000-0000-0000260B0000}"/>
    <cellStyle name="Currency 3 2 3 6 3 2" xfId="14739" xr:uid="{EFAEFBE6-BB82-4894-A6C4-40C9B73DCA68}"/>
    <cellStyle name="Currency 3 2 3 6 4" xfId="10521" xr:uid="{B88EAD57-A173-4CB7-8C88-FBBDE099C807}"/>
    <cellStyle name="Currency 3 2 3 7" xfId="2418" xr:uid="{00000000-0005-0000-0000-0000270B0000}"/>
    <cellStyle name="Currency 3 2 3 7 2" xfId="6702" xr:uid="{00000000-0005-0000-0000-0000280B0000}"/>
    <cellStyle name="Currency 3 2 3 7 2 2" xfId="15152" xr:uid="{DFCA27F4-A32E-463F-A2F6-F7D6A25EC3A7}"/>
    <cellStyle name="Currency 3 2 3 7 3" xfId="10934" xr:uid="{FDE4729B-1911-48DE-B51C-F9F5A77DE708}"/>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357211B3-741A-45F7-BCB1-8ED6F3B0DC81}"/>
    <cellStyle name="Currency 3 2 3 9 3" xfId="11251" xr:uid="{B8E60CAB-3CA2-4428-BBA5-75B4432AE0DF}"/>
    <cellStyle name="Currency 3 2 4" xfId="184" xr:uid="{00000000-0005-0000-0000-00002C0B0000}"/>
    <cellStyle name="Currency 3 2 4 10" xfId="8870" xr:uid="{3895B3CD-8E96-4F0C-A7CE-14BC0C005B2D}"/>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7294EC43-271C-4623-8CF0-EC4818CA00C4}"/>
    <cellStyle name="Currency 3 2 4 2 2 3" xfId="11429" xr:uid="{2C59D0D0-0496-46DE-82E4-EE17DD7A45C3}"/>
    <cellStyle name="Currency 3 2 4 2 3" xfId="5052" xr:uid="{00000000-0005-0000-0000-0000300B0000}"/>
    <cellStyle name="Currency 3 2 4 2 3 2" xfId="13502" xr:uid="{9752AEAE-600B-4299-B121-F3CF12A12430}"/>
    <cellStyle name="Currency 3 2 4 2 4" xfId="9284" xr:uid="{89A5AFEE-6249-43F5-A617-BEDB2BA4E0E4}"/>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6076DBA9-D8FA-42E4-B80E-4F00D6B3FDC3}"/>
    <cellStyle name="Currency 3 2 4 3 2 3" xfId="11842" xr:uid="{1A295F23-107D-4D8A-8CCA-21CA14137216}"/>
    <cellStyle name="Currency 3 2 4 3 3" xfId="5465" xr:uid="{00000000-0005-0000-0000-0000340B0000}"/>
    <cellStyle name="Currency 3 2 4 3 3 2" xfId="13915" xr:uid="{23D77DB2-1A30-4BBC-B07F-7385AECF21D1}"/>
    <cellStyle name="Currency 3 2 4 3 4" xfId="9697" xr:uid="{969A64B4-7CD1-4ED6-8EB6-96E366927F3B}"/>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8435F157-CB26-496D-8FA2-BC138108C26E}"/>
    <cellStyle name="Currency 3 2 4 4 2 3" xfId="12255" xr:uid="{90BE1A85-37AD-4AF1-8A98-B27088CCCF8A}"/>
    <cellStyle name="Currency 3 2 4 4 3" xfId="5878" xr:uid="{00000000-0005-0000-0000-0000380B0000}"/>
    <cellStyle name="Currency 3 2 4 4 3 2" xfId="14328" xr:uid="{A4348A38-1253-485C-BD64-29E6BE62F681}"/>
    <cellStyle name="Currency 3 2 4 4 4" xfId="10110" xr:uid="{2D5EF408-AA3B-4296-83D6-546EB0242597}"/>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5AE6ED3B-A90D-4271-A020-5DC348589C72}"/>
    <cellStyle name="Currency 3 2 4 5 2 3" xfId="12668" xr:uid="{F2757762-5E47-4025-9CDB-9A770421993F}"/>
    <cellStyle name="Currency 3 2 4 5 3" xfId="6291" xr:uid="{00000000-0005-0000-0000-00003C0B0000}"/>
    <cellStyle name="Currency 3 2 4 5 3 2" xfId="14741" xr:uid="{7445AE49-733A-46C3-81BC-58814C77259C}"/>
    <cellStyle name="Currency 3 2 4 5 4" xfId="10523" xr:uid="{E408F978-89C3-4C1A-BF0B-A8B3F36DAB62}"/>
    <cellStyle name="Currency 3 2 4 6" xfId="2420" xr:uid="{00000000-0005-0000-0000-00003D0B0000}"/>
    <cellStyle name="Currency 3 2 4 6 2" xfId="6704" xr:uid="{00000000-0005-0000-0000-00003E0B0000}"/>
    <cellStyle name="Currency 3 2 4 6 2 2" xfId="15154" xr:uid="{8E31D8BE-9AAF-444B-892E-84141C5FD918}"/>
    <cellStyle name="Currency 3 2 4 6 3" xfId="10936" xr:uid="{47006C38-9651-409E-8C6D-23EEC12BFC14}"/>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97D21AE3-9645-46F0-A170-0B8DB2453B78}"/>
    <cellStyle name="Currency 3 2 4 8 3" xfId="11253" xr:uid="{46B40421-CF0F-4F19-B419-6BD4D961D75A}"/>
    <cellStyle name="Currency 3 2 4 9" xfId="4638" xr:uid="{00000000-0005-0000-0000-0000420B0000}"/>
    <cellStyle name="Currency 3 2 4 9 2" xfId="13088" xr:uid="{E681C3CA-B089-4EF3-8181-52876632E24C}"/>
    <cellStyle name="Currency 3 2 5" xfId="185" xr:uid="{00000000-0005-0000-0000-0000430B0000}"/>
    <cellStyle name="Currency 3 2 5 10" xfId="8871" xr:uid="{10D19B19-4795-4D36-93DE-3FEE842A2B27}"/>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75D05E21-088E-4014-B0C1-AEEF77B44DA5}"/>
    <cellStyle name="Currency 3 2 5 2 2 3" xfId="11430" xr:uid="{4B0750D7-7AFB-4522-A8C9-F81D1E4D6926}"/>
    <cellStyle name="Currency 3 2 5 2 3" xfId="5053" xr:uid="{00000000-0005-0000-0000-0000470B0000}"/>
    <cellStyle name="Currency 3 2 5 2 3 2" xfId="13503" xr:uid="{749E9144-FFDB-4525-9F3C-0B90637B173D}"/>
    <cellStyle name="Currency 3 2 5 2 4" xfId="9285" xr:uid="{8BCE6929-579C-4B9D-862C-EA5FAA23D80D}"/>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20068E80-31F1-4F05-A119-5237471A333D}"/>
    <cellStyle name="Currency 3 2 5 3 2 3" xfId="11843" xr:uid="{F1DB602E-EC75-4E21-9C8D-2E40365B79E7}"/>
    <cellStyle name="Currency 3 2 5 3 3" xfId="5466" xr:uid="{00000000-0005-0000-0000-00004B0B0000}"/>
    <cellStyle name="Currency 3 2 5 3 3 2" xfId="13916" xr:uid="{04AF5046-8CBF-428C-B910-0616E216A571}"/>
    <cellStyle name="Currency 3 2 5 3 4" xfId="9698" xr:uid="{001F234D-B1AF-4E04-9311-EC2240E7C944}"/>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3826887A-7613-4B41-AA16-69DCD84A77CB}"/>
    <cellStyle name="Currency 3 2 5 4 2 3" xfId="12256" xr:uid="{1727CFCA-F58E-410F-BCC5-F3788D3C98AA}"/>
    <cellStyle name="Currency 3 2 5 4 3" xfId="5879" xr:uid="{00000000-0005-0000-0000-00004F0B0000}"/>
    <cellStyle name="Currency 3 2 5 4 3 2" xfId="14329" xr:uid="{5E7C1251-3DB0-4B7F-9337-2DC201441A9C}"/>
    <cellStyle name="Currency 3 2 5 4 4" xfId="10111" xr:uid="{E8D50AAF-9A4C-4597-AB06-B88A8765F225}"/>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108E1EA9-A27E-4C3B-B7BA-C378B79B613A}"/>
    <cellStyle name="Currency 3 2 5 5 2 3" xfId="12669" xr:uid="{867216F0-8810-4A27-BDA9-A1936C7B1113}"/>
    <cellStyle name="Currency 3 2 5 5 3" xfId="6292" xr:uid="{00000000-0005-0000-0000-0000530B0000}"/>
    <cellStyle name="Currency 3 2 5 5 3 2" xfId="14742" xr:uid="{441DB475-04EF-446A-A332-22C993C71CED}"/>
    <cellStyle name="Currency 3 2 5 5 4" xfId="10524" xr:uid="{11FD283B-964A-42DD-A5A3-37862D4132DD}"/>
    <cellStyle name="Currency 3 2 5 6" xfId="2421" xr:uid="{00000000-0005-0000-0000-0000540B0000}"/>
    <cellStyle name="Currency 3 2 5 6 2" xfId="6705" xr:uid="{00000000-0005-0000-0000-0000550B0000}"/>
    <cellStyle name="Currency 3 2 5 6 2 2" xfId="15155" xr:uid="{D47DA54F-37D4-4B5C-802F-077B67886D86}"/>
    <cellStyle name="Currency 3 2 5 6 3" xfId="10937" xr:uid="{48E4839E-0996-4323-9AE3-3833B1291539}"/>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1F347586-0E60-42FD-A187-9466F5CAA06A}"/>
    <cellStyle name="Currency 3 2 5 8 3" xfId="11254" xr:uid="{262CC08F-8129-48FA-AE52-4AEDA2C8EA48}"/>
    <cellStyle name="Currency 3 2 5 9" xfId="4639" xr:uid="{00000000-0005-0000-0000-0000590B0000}"/>
    <cellStyle name="Currency 3 2 5 9 2" xfId="13089" xr:uid="{B595EBDF-1022-4BDA-8B66-C87A61B8F6DC}"/>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5B1F2DFA-9197-4538-8923-CE4B6D487285}"/>
    <cellStyle name="Currency 5 2 2 2 10 3" xfId="11255" xr:uid="{F1BAE21C-E301-432E-B5E2-E4CC6DB6E14A}"/>
    <cellStyle name="Currency 5 2 2 2 11" xfId="4640" xr:uid="{00000000-0005-0000-0000-00006C0B0000}"/>
    <cellStyle name="Currency 5 2 2 2 11 2" xfId="13090" xr:uid="{9B1EF4F1-3EE0-4248-B7F5-579A4A63429E}"/>
    <cellStyle name="Currency 5 2 2 2 12" xfId="8872" xr:uid="{DCFF8067-4C32-4348-A78B-2A30B0F6C740}"/>
    <cellStyle name="Currency 5 2 2 2 2" xfId="197" xr:uid="{00000000-0005-0000-0000-00006D0B0000}"/>
    <cellStyle name="Currency 5 2 2 2 2 10" xfId="4641" xr:uid="{00000000-0005-0000-0000-00006E0B0000}"/>
    <cellStyle name="Currency 5 2 2 2 2 10 2" xfId="13091" xr:uid="{E408D29D-80BB-432D-839A-9A2BF443868B}"/>
    <cellStyle name="Currency 5 2 2 2 2 11" xfId="8873" xr:uid="{A0DEAE69-2B0D-42AB-89A2-8C919E036EFA}"/>
    <cellStyle name="Currency 5 2 2 2 2 2" xfId="198" xr:uid="{00000000-0005-0000-0000-00006F0B0000}"/>
    <cellStyle name="Currency 5 2 2 2 2 2 10" xfId="8874" xr:uid="{E865D830-5DEC-4490-8E9F-278B393DCA69}"/>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2EF900B2-8DF4-4DC2-86D2-48C3B4BAD379}"/>
    <cellStyle name="Currency 5 2 2 2 2 2 2 2 3" xfId="11433" xr:uid="{EE4F3331-B482-4E74-B724-013EFA75F50A}"/>
    <cellStyle name="Currency 5 2 2 2 2 2 2 3" xfId="5056" xr:uid="{00000000-0005-0000-0000-0000730B0000}"/>
    <cellStyle name="Currency 5 2 2 2 2 2 2 3 2" xfId="13506" xr:uid="{EF7C7C7B-7CD8-4E8D-865B-23999F5D8C68}"/>
    <cellStyle name="Currency 5 2 2 2 2 2 2 4" xfId="9288" xr:uid="{EC70C9DE-D4CD-4EAE-AEFE-B4A5D1FB5741}"/>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D50ABD1F-09E2-4455-BA85-0FA13C220E83}"/>
    <cellStyle name="Currency 5 2 2 2 2 2 3 2 3" xfId="11846" xr:uid="{CB9A8DEA-FBD7-49ED-9999-5DAF8525D60B}"/>
    <cellStyle name="Currency 5 2 2 2 2 2 3 3" xfId="5469" xr:uid="{00000000-0005-0000-0000-0000770B0000}"/>
    <cellStyle name="Currency 5 2 2 2 2 2 3 3 2" xfId="13919" xr:uid="{37A8006A-40EC-45F3-86EA-178E4EA2DAA5}"/>
    <cellStyle name="Currency 5 2 2 2 2 2 3 4" xfId="9701" xr:uid="{47543970-77AC-402E-879B-36D0512FF4FE}"/>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674F35BB-E637-419C-BC59-B89BBF7795A6}"/>
    <cellStyle name="Currency 5 2 2 2 2 2 4 2 3" xfId="12259" xr:uid="{21F0FDC4-9A17-4BEA-B6A0-D66B9E6E9205}"/>
    <cellStyle name="Currency 5 2 2 2 2 2 4 3" xfId="5882" xr:uid="{00000000-0005-0000-0000-00007B0B0000}"/>
    <cellStyle name="Currency 5 2 2 2 2 2 4 3 2" xfId="14332" xr:uid="{600C2F13-55B3-4A04-82EC-84CCB3F00F86}"/>
    <cellStyle name="Currency 5 2 2 2 2 2 4 4" xfId="10114" xr:uid="{C6A216BF-E7DC-4531-A96F-A4BAD1F449DC}"/>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B35466F7-A1C8-452E-B84D-A134EAA8B3E1}"/>
    <cellStyle name="Currency 5 2 2 2 2 2 5 2 3" xfId="12672" xr:uid="{C9C3CBFF-E7A4-421F-98B2-DD711698EBF2}"/>
    <cellStyle name="Currency 5 2 2 2 2 2 5 3" xfId="6295" xr:uid="{00000000-0005-0000-0000-00007F0B0000}"/>
    <cellStyle name="Currency 5 2 2 2 2 2 5 3 2" xfId="14745" xr:uid="{17B91FBE-12E6-45AB-BA9C-9D4430504BA9}"/>
    <cellStyle name="Currency 5 2 2 2 2 2 5 4" xfId="10527" xr:uid="{6C5E9E32-BF3B-476D-BE75-F03CA90CA66C}"/>
    <cellStyle name="Currency 5 2 2 2 2 2 6" xfId="2424" xr:uid="{00000000-0005-0000-0000-0000800B0000}"/>
    <cellStyle name="Currency 5 2 2 2 2 2 6 2" xfId="6708" xr:uid="{00000000-0005-0000-0000-0000810B0000}"/>
    <cellStyle name="Currency 5 2 2 2 2 2 6 2 2" xfId="15158" xr:uid="{8BED6D69-1A97-41E6-9CD7-CA033E0253A7}"/>
    <cellStyle name="Currency 5 2 2 2 2 2 6 3" xfId="10940" xr:uid="{FC532050-96BC-400C-812D-5CAE349209B3}"/>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5BD85594-7B9F-49F5-BE93-628B088F503E}"/>
    <cellStyle name="Currency 5 2 2 2 2 2 8 3" xfId="11257" xr:uid="{AED46874-8602-4BF6-AD38-D2F326C13BF0}"/>
    <cellStyle name="Currency 5 2 2 2 2 2 9" xfId="4642" xr:uid="{00000000-0005-0000-0000-0000850B0000}"/>
    <cellStyle name="Currency 5 2 2 2 2 2 9 2" xfId="13092" xr:uid="{D1C3AFC4-4682-4147-AA4E-E2B9B11B506D}"/>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514D53B5-2462-4CCD-BF86-BF807DE3F350}"/>
    <cellStyle name="Currency 5 2 2 2 2 3 2 3" xfId="11432" xr:uid="{94B61B5C-480B-4CE3-B39C-CD002CE8984D}"/>
    <cellStyle name="Currency 5 2 2 2 2 3 3" xfId="5055" xr:uid="{00000000-0005-0000-0000-0000890B0000}"/>
    <cellStyle name="Currency 5 2 2 2 2 3 3 2" xfId="13505" xr:uid="{6D649621-552B-48B8-B14A-8E94B4DF91E9}"/>
    <cellStyle name="Currency 5 2 2 2 2 3 4" xfId="9287" xr:uid="{0E3DFEAE-897D-401D-A287-1AB390A29179}"/>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6E85A091-B423-4900-A414-1F43164211E1}"/>
    <cellStyle name="Currency 5 2 2 2 2 4 2 3" xfId="11845" xr:uid="{02422C7D-B328-4E22-BA3E-AC491E0DE8F4}"/>
    <cellStyle name="Currency 5 2 2 2 2 4 3" xfId="5468" xr:uid="{00000000-0005-0000-0000-00008D0B0000}"/>
    <cellStyle name="Currency 5 2 2 2 2 4 3 2" xfId="13918" xr:uid="{57F8FDF1-D7E7-4074-BE03-80E86A21E3B2}"/>
    <cellStyle name="Currency 5 2 2 2 2 4 4" xfId="9700" xr:uid="{2C86A73B-9995-41DD-B2C4-800D56DADF42}"/>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E1079981-35A5-464C-B72D-1759D2AA1EE3}"/>
    <cellStyle name="Currency 5 2 2 2 2 5 2 3" xfId="12258" xr:uid="{23D4144D-169A-4DA3-AC7D-48D8EBD665B7}"/>
    <cellStyle name="Currency 5 2 2 2 2 5 3" xfId="5881" xr:uid="{00000000-0005-0000-0000-0000910B0000}"/>
    <cellStyle name="Currency 5 2 2 2 2 5 3 2" xfId="14331" xr:uid="{3A07F98E-A779-4517-BC15-47266E39AB1B}"/>
    <cellStyle name="Currency 5 2 2 2 2 5 4" xfId="10113" xr:uid="{1B88742F-A3EB-40E8-9B29-1676FCCC67F7}"/>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38C6B3E8-A68F-479D-90E9-EDDCF27CEBEA}"/>
    <cellStyle name="Currency 5 2 2 2 2 6 2 3" xfId="12671" xr:uid="{A2ACE030-1F08-4ABA-87B0-E6CEE2AB5701}"/>
    <cellStyle name="Currency 5 2 2 2 2 6 3" xfId="6294" xr:uid="{00000000-0005-0000-0000-0000950B0000}"/>
    <cellStyle name="Currency 5 2 2 2 2 6 3 2" xfId="14744" xr:uid="{5CF7C1B4-9F24-4843-917D-02932FBA0864}"/>
    <cellStyle name="Currency 5 2 2 2 2 6 4" xfId="10526" xr:uid="{256B7900-3C3E-40A6-80A9-9E831D8F7241}"/>
    <cellStyle name="Currency 5 2 2 2 2 7" xfId="2423" xr:uid="{00000000-0005-0000-0000-0000960B0000}"/>
    <cellStyle name="Currency 5 2 2 2 2 7 2" xfId="6707" xr:uid="{00000000-0005-0000-0000-0000970B0000}"/>
    <cellStyle name="Currency 5 2 2 2 2 7 2 2" xfId="15157" xr:uid="{17192FB5-4077-4538-8FFE-377732015275}"/>
    <cellStyle name="Currency 5 2 2 2 2 7 3" xfId="10939" xr:uid="{981662BD-88A6-4871-B412-B42F7AA87AEA}"/>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DDD37CFA-AEA1-4CDB-AA6F-A3D93CFDFC99}"/>
    <cellStyle name="Currency 5 2 2 2 2 9 3" xfId="11256" xr:uid="{9DBE49F2-0B0C-425B-B49F-0314A5F7A6D5}"/>
    <cellStyle name="Currency 5 2 2 2 3" xfId="199" xr:uid="{00000000-0005-0000-0000-00009B0B0000}"/>
    <cellStyle name="Currency 5 2 2 2 3 10" xfId="8875" xr:uid="{CAF4B988-874C-406A-BD45-02789990F0A3}"/>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D5FAA3E0-58AA-429F-AA19-7F9A3CBFC93D}"/>
    <cellStyle name="Currency 5 2 2 2 3 2 2 3" xfId="11434" xr:uid="{9DF67028-DE1E-4767-859D-FF6EF325A8FF}"/>
    <cellStyle name="Currency 5 2 2 2 3 2 3" xfId="5057" xr:uid="{00000000-0005-0000-0000-00009F0B0000}"/>
    <cellStyle name="Currency 5 2 2 2 3 2 3 2" xfId="13507" xr:uid="{98CC679E-F111-491D-A8FF-FF1E235EDAE8}"/>
    <cellStyle name="Currency 5 2 2 2 3 2 4" xfId="9289" xr:uid="{A77B6B06-80B2-467D-B5CA-CC16C9C51B02}"/>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DF46503C-F57C-472F-9AD4-14E3CA005724}"/>
    <cellStyle name="Currency 5 2 2 2 3 3 2 3" xfId="11847" xr:uid="{8070A922-884F-41D2-B84C-52A9CCE81392}"/>
    <cellStyle name="Currency 5 2 2 2 3 3 3" xfId="5470" xr:uid="{00000000-0005-0000-0000-0000A30B0000}"/>
    <cellStyle name="Currency 5 2 2 2 3 3 3 2" xfId="13920" xr:uid="{1D5C77AE-7A96-45EA-9CA4-4CDDAFF24F0B}"/>
    <cellStyle name="Currency 5 2 2 2 3 3 4" xfId="9702" xr:uid="{49368509-A75F-4D09-B3C3-07635F30BB29}"/>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0EB1684D-32E1-469B-8F29-93D164D8CF27}"/>
    <cellStyle name="Currency 5 2 2 2 3 4 2 3" xfId="12260" xr:uid="{43494B16-ACCA-4FEA-9FC1-B3C5495B0C72}"/>
    <cellStyle name="Currency 5 2 2 2 3 4 3" xfId="5883" xr:uid="{00000000-0005-0000-0000-0000A70B0000}"/>
    <cellStyle name="Currency 5 2 2 2 3 4 3 2" xfId="14333" xr:uid="{8E9E99C8-3C40-4F6C-AD42-060F9A994EED}"/>
    <cellStyle name="Currency 5 2 2 2 3 4 4" xfId="10115" xr:uid="{214DEA1E-A15E-43B7-93DF-9032FE1369ED}"/>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8740DA1F-9984-431E-8D7B-0DC32AD140DB}"/>
    <cellStyle name="Currency 5 2 2 2 3 5 2 3" xfId="12673" xr:uid="{F1182B76-FE3B-4D64-8045-53627D2D24A4}"/>
    <cellStyle name="Currency 5 2 2 2 3 5 3" xfId="6296" xr:uid="{00000000-0005-0000-0000-0000AB0B0000}"/>
    <cellStyle name="Currency 5 2 2 2 3 5 3 2" xfId="14746" xr:uid="{632D968B-2A5C-461A-BD08-7775B28A30C4}"/>
    <cellStyle name="Currency 5 2 2 2 3 5 4" xfId="10528" xr:uid="{B02E62E9-F7AF-4CCE-AB2D-1E7EA09F419E}"/>
    <cellStyle name="Currency 5 2 2 2 3 6" xfId="2425" xr:uid="{00000000-0005-0000-0000-0000AC0B0000}"/>
    <cellStyle name="Currency 5 2 2 2 3 6 2" xfId="6709" xr:uid="{00000000-0005-0000-0000-0000AD0B0000}"/>
    <cellStyle name="Currency 5 2 2 2 3 6 2 2" xfId="15159" xr:uid="{74539B36-3AA3-4682-BF9A-F6C8594952C6}"/>
    <cellStyle name="Currency 5 2 2 2 3 6 3" xfId="10941" xr:uid="{E7BB8D45-9D9B-4EA1-B3E2-818B3C11B301}"/>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FD4A220B-6F86-4696-BA95-3E09E9B8866F}"/>
    <cellStyle name="Currency 5 2 2 2 3 8 3" xfId="11258" xr:uid="{953CE6FC-7732-404F-B62F-6A7859AEB182}"/>
    <cellStyle name="Currency 5 2 2 2 3 9" xfId="4643" xr:uid="{00000000-0005-0000-0000-0000B10B0000}"/>
    <cellStyle name="Currency 5 2 2 2 3 9 2" xfId="13093" xr:uid="{7D6E87E0-A331-4D0B-8219-CECC26161806}"/>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6040725F-31DF-4ADB-A72A-800A6715713A}"/>
    <cellStyle name="Currency 5 2 2 2 4 2 3" xfId="11431" xr:uid="{7B107F62-6F8A-4EC5-BF77-84C1B60073BB}"/>
    <cellStyle name="Currency 5 2 2 2 4 3" xfId="5054" xr:uid="{00000000-0005-0000-0000-0000B50B0000}"/>
    <cellStyle name="Currency 5 2 2 2 4 3 2" xfId="13504" xr:uid="{5584FF80-1ECC-4884-A461-AE9130A0DC69}"/>
    <cellStyle name="Currency 5 2 2 2 4 4" xfId="9286" xr:uid="{0EC80E63-DCD1-4DF2-89D3-5087401FA3E9}"/>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90E879A4-A7B8-4CA0-BCD0-01A48A32801A}"/>
    <cellStyle name="Currency 5 2 2 2 5 2 3" xfId="11844" xr:uid="{BAB29BD3-3FDA-4292-BCF5-9AE96E68E408}"/>
    <cellStyle name="Currency 5 2 2 2 5 3" xfId="5467" xr:uid="{00000000-0005-0000-0000-0000B90B0000}"/>
    <cellStyle name="Currency 5 2 2 2 5 3 2" xfId="13917" xr:uid="{4A865478-121E-4B5F-8AF1-0B986C587CC0}"/>
    <cellStyle name="Currency 5 2 2 2 5 4" xfId="9699" xr:uid="{35BB85E0-B07C-4D03-8B7E-216AD869C82C}"/>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17EC0D1D-3707-4856-90FA-DA772908958C}"/>
    <cellStyle name="Currency 5 2 2 2 6 2 3" xfId="12257" xr:uid="{CCFD1064-16D2-4209-B78F-6E9138C7AFCD}"/>
    <cellStyle name="Currency 5 2 2 2 6 3" xfId="5880" xr:uid="{00000000-0005-0000-0000-0000BD0B0000}"/>
    <cellStyle name="Currency 5 2 2 2 6 3 2" xfId="14330" xr:uid="{5284113E-EEB7-45AD-B8AC-ADFF4C7B84D2}"/>
    <cellStyle name="Currency 5 2 2 2 6 4" xfId="10112" xr:uid="{7865CA25-6C23-4710-AF0C-72BD8BAC0043}"/>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3F9F2E55-FD66-4D5B-A561-DE49E8F01CE7}"/>
    <cellStyle name="Currency 5 2 2 2 7 2 3" xfId="12670" xr:uid="{B14E3A8C-108A-4005-AEA2-92E98CD82425}"/>
    <cellStyle name="Currency 5 2 2 2 7 3" xfId="6293" xr:uid="{00000000-0005-0000-0000-0000C10B0000}"/>
    <cellStyle name="Currency 5 2 2 2 7 3 2" xfId="14743" xr:uid="{0B816E55-3F21-4E6F-AE42-0D0573E927F1}"/>
    <cellStyle name="Currency 5 2 2 2 7 4" xfId="10525" xr:uid="{C014C1CF-36B3-4F8A-A084-471A48A5D2E9}"/>
    <cellStyle name="Currency 5 2 2 2 8" xfId="2422" xr:uid="{00000000-0005-0000-0000-0000C20B0000}"/>
    <cellStyle name="Currency 5 2 2 2 8 2" xfId="6706" xr:uid="{00000000-0005-0000-0000-0000C30B0000}"/>
    <cellStyle name="Currency 5 2 2 2 8 2 2" xfId="15156" xr:uid="{B94EA2EF-836B-48D2-9972-E7F382DE9ADD}"/>
    <cellStyle name="Currency 5 2 2 2 8 3" xfId="10938" xr:uid="{B97B56AE-B769-424C-A6AD-45E50CB5F6AC}"/>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16450711-FFC9-4234-AB98-F3366C44AF7A}"/>
    <cellStyle name="Currency 5 2 2 3 11" xfId="8876" xr:uid="{E85689AC-AB3F-422A-854D-3856A41EFD01}"/>
    <cellStyle name="Currency 5 2 2 3 2" xfId="201" xr:uid="{00000000-0005-0000-0000-0000C70B0000}"/>
    <cellStyle name="Currency 5 2 2 3 2 10" xfId="8877" xr:uid="{ED3D2107-072D-4FC2-B261-3800B2E36758}"/>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A7707486-3F33-4522-B96C-B0F4D8A6673E}"/>
    <cellStyle name="Currency 5 2 2 3 2 2 2 3" xfId="11436" xr:uid="{721D41BE-87FE-4F2B-A6BD-6595D9837735}"/>
    <cellStyle name="Currency 5 2 2 3 2 2 3" xfId="5059" xr:uid="{00000000-0005-0000-0000-0000CB0B0000}"/>
    <cellStyle name="Currency 5 2 2 3 2 2 3 2" xfId="13509" xr:uid="{CC831EBB-EAE9-47F6-8FD8-66E3E4D2F336}"/>
    <cellStyle name="Currency 5 2 2 3 2 2 4" xfId="9291" xr:uid="{52EFE07F-4481-44D1-94E2-E895C1BB2D1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89015EC2-6AAB-4F6C-8D10-8DF9B7EAE74E}"/>
    <cellStyle name="Currency 5 2 2 3 2 3 2 3" xfId="11849" xr:uid="{754D67E3-6855-4525-8203-B5794CFD0995}"/>
    <cellStyle name="Currency 5 2 2 3 2 3 3" xfId="5472" xr:uid="{00000000-0005-0000-0000-0000CF0B0000}"/>
    <cellStyle name="Currency 5 2 2 3 2 3 3 2" xfId="13922" xr:uid="{F73790CA-3CAC-4E51-93B9-F9A9E290C182}"/>
    <cellStyle name="Currency 5 2 2 3 2 3 4" xfId="9704" xr:uid="{BB2BDB18-E8CF-4799-B4E6-4B7D07B2E864}"/>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EFD916C0-DE57-406E-A3DC-74832C7C7D75}"/>
    <cellStyle name="Currency 5 2 2 3 2 4 2 3" xfId="12262" xr:uid="{12E5B23E-C6F1-4FA4-8DA6-C4EC38340CCB}"/>
    <cellStyle name="Currency 5 2 2 3 2 4 3" xfId="5885" xr:uid="{00000000-0005-0000-0000-0000D30B0000}"/>
    <cellStyle name="Currency 5 2 2 3 2 4 3 2" xfId="14335" xr:uid="{FD242BB8-99DB-47E6-8D1E-516E523651A1}"/>
    <cellStyle name="Currency 5 2 2 3 2 4 4" xfId="10117" xr:uid="{DF9DB305-0E49-4717-8044-D6F45696A086}"/>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9E6B495D-694B-4B7F-9374-107F21B3CEA8}"/>
    <cellStyle name="Currency 5 2 2 3 2 5 2 3" xfId="12675" xr:uid="{E18FDC21-43CE-4F97-BFFB-5596789A9D9C}"/>
    <cellStyle name="Currency 5 2 2 3 2 5 3" xfId="6298" xr:uid="{00000000-0005-0000-0000-0000D70B0000}"/>
    <cellStyle name="Currency 5 2 2 3 2 5 3 2" xfId="14748" xr:uid="{78D05B85-FDD3-4648-80DB-695543E85368}"/>
    <cellStyle name="Currency 5 2 2 3 2 5 4" xfId="10530" xr:uid="{768A28A4-12AF-4539-A304-4213A82C6EFF}"/>
    <cellStyle name="Currency 5 2 2 3 2 6" xfId="2427" xr:uid="{00000000-0005-0000-0000-0000D80B0000}"/>
    <cellStyle name="Currency 5 2 2 3 2 6 2" xfId="6711" xr:uid="{00000000-0005-0000-0000-0000D90B0000}"/>
    <cellStyle name="Currency 5 2 2 3 2 6 2 2" xfId="15161" xr:uid="{A2961D20-F751-41A4-BCA1-94ECC95A7B71}"/>
    <cellStyle name="Currency 5 2 2 3 2 6 3" xfId="10943" xr:uid="{F8E037A6-A854-4E45-8B91-30E920EFADBB}"/>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D3CEC6F8-BADE-4F59-BEB3-D237A448B27F}"/>
    <cellStyle name="Currency 5 2 2 3 2 8 3" xfId="11260" xr:uid="{CCDF80EA-A512-4372-96FB-DD671B874E5D}"/>
    <cellStyle name="Currency 5 2 2 3 2 9" xfId="4645" xr:uid="{00000000-0005-0000-0000-0000DD0B0000}"/>
    <cellStyle name="Currency 5 2 2 3 2 9 2" xfId="13095" xr:uid="{11ECE2E9-2D44-422A-8D1D-B552C633CCED}"/>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1EABE9E0-D941-4450-9E16-FD0AAE9C803E}"/>
    <cellStyle name="Currency 5 2 2 3 3 2 3" xfId="11435" xr:uid="{34FDF08C-A265-4FC9-8E59-932CC0DC8840}"/>
    <cellStyle name="Currency 5 2 2 3 3 3" xfId="5058" xr:uid="{00000000-0005-0000-0000-0000E10B0000}"/>
    <cellStyle name="Currency 5 2 2 3 3 3 2" xfId="13508" xr:uid="{F94976C1-3B88-4F0B-84E3-8CD6EDC89E15}"/>
    <cellStyle name="Currency 5 2 2 3 3 4" xfId="9290" xr:uid="{B038E478-4F3B-43F0-B7CB-9493E203728C}"/>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66DB4A47-C76E-4CBD-A5B4-A5DB653DAE7F}"/>
    <cellStyle name="Currency 5 2 2 3 4 2 3" xfId="11848" xr:uid="{E4A7173B-2E9C-4F97-87D5-0E0D9353B19F}"/>
    <cellStyle name="Currency 5 2 2 3 4 3" xfId="5471" xr:uid="{00000000-0005-0000-0000-0000E50B0000}"/>
    <cellStyle name="Currency 5 2 2 3 4 3 2" xfId="13921" xr:uid="{DD71349D-7FD7-45DD-9EAA-A0B73858D3D7}"/>
    <cellStyle name="Currency 5 2 2 3 4 4" xfId="9703" xr:uid="{9E4AA558-8A23-4A02-BC24-27B82E87D294}"/>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A71020BE-709E-4399-9531-489FEA640770}"/>
    <cellStyle name="Currency 5 2 2 3 5 2 3" xfId="12261" xr:uid="{39E2104E-EC29-4B58-B6A9-3447DF7E583E}"/>
    <cellStyle name="Currency 5 2 2 3 5 3" xfId="5884" xr:uid="{00000000-0005-0000-0000-0000E90B0000}"/>
    <cellStyle name="Currency 5 2 2 3 5 3 2" xfId="14334" xr:uid="{46CF590E-D1B2-4FD3-9926-0556100A56C1}"/>
    <cellStyle name="Currency 5 2 2 3 5 4" xfId="10116" xr:uid="{A47FD10C-23E3-4410-BB9D-8E37A9C6742A}"/>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3C90DFF7-5119-493F-B3BE-7A671E2D2892}"/>
    <cellStyle name="Currency 5 2 2 3 6 2 3" xfId="12674" xr:uid="{5CE9E768-EEF4-4AE4-99DB-FC8A739FC81D}"/>
    <cellStyle name="Currency 5 2 2 3 6 3" xfId="6297" xr:uid="{00000000-0005-0000-0000-0000ED0B0000}"/>
    <cellStyle name="Currency 5 2 2 3 6 3 2" xfId="14747" xr:uid="{FF566B94-257A-43FE-80FE-DDCC8620D755}"/>
    <cellStyle name="Currency 5 2 2 3 6 4" xfId="10529" xr:uid="{28A8F080-F075-4864-AD41-33BCEEA15B0B}"/>
    <cellStyle name="Currency 5 2 2 3 7" xfId="2426" xr:uid="{00000000-0005-0000-0000-0000EE0B0000}"/>
    <cellStyle name="Currency 5 2 2 3 7 2" xfId="6710" xr:uid="{00000000-0005-0000-0000-0000EF0B0000}"/>
    <cellStyle name="Currency 5 2 2 3 7 2 2" xfId="15160" xr:uid="{271F38C3-70F9-4BF5-BB4D-0085E1B7091E}"/>
    <cellStyle name="Currency 5 2 2 3 7 3" xfId="10942" xr:uid="{DC3840A5-1B25-4E4F-B9D6-E8036A742D8F}"/>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A7F9B856-8A5C-46EE-9202-DD2468E849B6}"/>
    <cellStyle name="Currency 5 2 2 3 9 3" xfId="11259" xr:uid="{FCA8591D-C0AB-47B0-BE06-61A65B4F8A33}"/>
    <cellStyle name="Currency 5 2 2 4" xfId="202" xr:uid="{00000000-0005-0000-0000-0000F30B0000}"/>
    <cellStyle name="Currency 5 2 2 4 10" xfId="8878" xr:uid="{CA7D18D5-9CBB-4651-8E08-0385A99397EE}"/>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8EC5E886-62C8-4725-9593-075250FF7D7A}"/>
    <cellStyle name="Currency 5 2 2 4 2 2 3" xfId="11437" xr:uid="{5926D3E9-B965-473E-BF0D-018D101F9521}"/>
    <cellStyle name="Currency 5 2 2 4 2 3" xfId="5060" xr:uid="{00000000-0005-0000-0000-0000F70B0000}"/>
    <cellStyle name="Currency 5 2 2 4 2 3 2" xfId="13510" xr:uid="{C20BD100-9018-48D8-90C9-A23EC47E418C}"/>
    <cellStyle name="Currency 5 2 2 4 2 4" xfId="9292" xr:uid="{B50B8EFB-2F58-42D7-88E5-4D19AA07D767}"/>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F0FC184F-34C1-4531-97A6-3EF641FBDD13}"/>
    <cellStyle name="Currency 5 2 2 4 3 2 3" xfId="11850" xr:uid="{D3D4F904-CC05-4092-993D-D67F5F3BD98A}"/>
    <cellStyle name="Currency 5 2 2 4 3 3" xfId="5473" xr:uid="{00000000-0005-0000-0000-0000FB0B0000}"/>
    <cellStyle name="Currency 5 2 2 4 3 3 2" xfId="13923" xr:uid="{87557377-2E29-425F-87CA-167CEF1C9A04}"/>
    <cellStyle name="Currency 5 2 2 4 3 4" xfId="9705" xr:uid="{E78C79AA-AD6F-4A37-8FB1-4C98C9F01C8B}"/>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884F2205-F385-4603-B03E-2E24BB6B46CE}"/>
    <cellStyle name="Currency 5 2 2 4 4 2 3" xfId="12263" xr:uid="{5A86030B-F38C-4C22-90B5-8218102FE303}"/>
    <cellStyle name="Currency 5 2 2 4 4 3" xfId="5886" xr:uid="{00000000-0005-0000-0000-0000FF0B0000}"/>
    <cellStyle name="Currency 5 2 2 4 4 3 2" xfId="14336" xr:uid="{A6BE7BAD-1697-4BC1-8E16-E14D02A0A83C}"/>
    <cellStyle name="Currency 5 2 2 4 4 4" xfId="10118" xr:uid="{D2B67B3F-BFDE-488E-90E4-7F8AEB13E595}"/>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181D887F-C812-4A8A-80D6-99FE60B93FA5}"/>
    <cellStyle name="Currency 5 2 2 4 5 2 3" xfId="12676" xr:uid="{603351D4-7568-4DEF-9F1E-C9AEA787EEF2}"/>
    <cellStyle name="Currency 5 2 2 4 5 3" xfId="6299" xr:uid="{00000000-0005-0000-0000-0000030C0000}"/>
    <cellStyle name="Currency 5 2 2 4 5 3 2" xfId="14749" xr:uid="{0684E075-CF12-42FD-8680-D5610F7DCB09}"/>
    <cellStyle name="Currency 5 2 2 4 5 4" xfId="10531" xr:uid="{DC902306-28ED-4A70-A1F7-3D0A4EFFCA97}"/>
    <cellStyle name="Currency 5 2 2 4 6" xfId="2428" xr:uid="{00000000-0005-0000-0000-0000040C0000}"/>
    <cellStyle name="Currency 5 2 2 4 6 2" xfId="6712" xr:uid="{00000000-0005-0000-0000-0000050C0000}"/>
    <cellStyle name="Currency 5 2 2 4 6 2 2" xfId="15162" xr:uid="{D85DD460-840B-47DA-BEF2-C9A235E315BA}"/>
    <cellStyle name="Currency 5 2 2 4 6 3" xfId="10944" xr:uid="{EE0939AB-1257-4746-B6E4-772F695CCAA3}"/>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A34C7E10-A145-4CA2-908F-99F2397EF7B2}"/>
    <cellStyle name="Currency 5 2 2 4 8 3" xfId="11261" xr:uid="{B568C918-CA6E-4475-AD23-78C3C7BF4398}"/>
    <cellStyle name="Currency 5 2 2 4 9" xfId="4646" xr:uid="{00000000-0005-0000-0000-0000090C0000}"/>
    <cellStyle name="Currency 5 2 2 4 9 2" xfId="13096" xr:uid="{D8C7259D-9D20-4396-ACEA-D6E6595B0733}"/>
    <cellStyle name="Currency 5 2 2 5" xfId="203" xr:uid="{00000000-0005-0000-0000-00000A0C0000}"/>
    <cellStyle name="Currency 5 2 2 5 10" xfId="8879" xr:uid="{E43DE068-334B-4FB3-8826-F59672171DA5}"/>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7111B965-598A-4F51-925E-B749C9199E5C}"/>
    <cellStyle name="Currency 5 2 2 5 2 2 3" xfId="11438" xr:uid="{A21287F0-9674-42B2-ABBC-9DDE85B38297}"/>
    <cellStyle name="Currency 5 2 2 5 2 3" xfId="5061" xr:uid="{00000000-0005-0000-0000-00000E0C0000}"/>
    <cellStyle name="Currency 5 2 2 5 2 3 2" xfId="13511" xr:uid="{DDA394BE-ECC4-4C34-A9BE-1726B1EC03D1}"/>
    <cellStyle name="Currency 5 2 2 5 2 4" xfId="9293" xr:uid="{C1B55561-2147-47E1-BAF9-39279B78A599}"/>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6E813E64-858D-4D24-B226-68721E6C8A59}"/>
    <cellStyle name="Currency 5 2 2 5 3 2 3" xfId="11851" xr:uid="{6FB9EA77-19D9-4874-BCE6-55DD63D89608}"/>
    <cellStyle name="Currency 5 2 2 5 3 3" xfId="5474" xr:uid="{00000000-0005-0000-0000-0000120C0000}"/>
    <cellStyle name="Currency 5 2 2 5 3 3 2" xfId="13924" xr:uid="{81EBE22A-5160-462B-BCBE-37D027528794}"/>
    <cellStyle name="Currency 5 2 2 5 3 4" xfId="9706" xr:uid="{F59C667C-EFA0-445E-9D10-8BFC12B59BEB}"/>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E767B6F6-C219-4E66-A990-D1164B1F634D}"/>
    <cellStyle name="Currency 5 2 2 5 4 2 3" xfId="12264" xr:uid="{7D96B897-B1E1-4006-808E-1051CA94DECD}"/>
    <cellStyle name="Currency 5 2 2 5 4 3" xfId="5887" xr:uid="{00000000-0005-0000-0000-0000160C0000}"/>
    <cellStyle name="Currency 5 2 2 5 4 3 2" xfId="14337" xr:uid="{2D0B9C23-56E8-4A87-8B00-EC25AD347F6F}"/>
    <cellStyle name="Currency 5 2 2 5 4 4" xfId="10119" xr:uid="{7E2B0B6A-C87E-4439-8262-D830EA890586}"/>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CD9CCAA7-80FF-4620-B011-C08F87CDFBD9}"/>
    <cellStyle name="Currency 5 2 2 5 5 2 3" xfId="12677" xr:uid="{1C98080F-10F0-4D86-81CA-D188733FBAD3}"/>
    <cellStyle name="Currency 5 2 2 5 5 3" xfId="6300" xr:uid="{00000000-0005-0000-0000-00001A0C0000}"/>
    <cellStyle name="Currency 5 2 2 5 5 3 2" xfId="14750" xr:uid="{5A4A8A08-BF24-4A9B-933B-B9089AA13132}"/>
    <cellStyle name="Currency 5 2 2 5 5 4" xfId="10532" xr:uid="{6FF49968-AEE3-48DA-8058-9EAFE698F618}"/>
    <cellStyle name="Currency 5 2 2 5 6" xfId="2429" xr:uid="{00000000-0005-0000-0000-00001B0C0000}"/>
    <cellStyle name="Currency 5 2 2 5 6 2" xfId="6713" xr:uid="{00000000-0005-0000-0000-00001C0C0000}"/>
    <cellStyle name="Currency 5 2 2 5 6 2 2" xfId="15163" xr:uid="{75E8AA23-5CA6-438C-88AC-310FCD1B7680}"/>
    <cellStyle name="Currency 5 2 2 5 6 3" xfId="10945" xr:uid="{FB191C11-C4E7-478E-BA8D-764D4C08D068}"/>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5601F330-59C1-4395-9BDA-990BC054D93B}"/>
    <cellStyle name="Currency 5 2 2 5 8 3" xfId="11262" xr:uid="{A1BCA603-717F-4873-BB5D-C10E64174184}"/>
    <cellStyle name="Currency 5 2 2 5 9" xfId="4647" xr:uid="{00000000-0005-0000-0000-0000200C0000}"/>
    <cellStyle name="Currency 5 2 2 5 9 2" xfId="13097" xr:uid="{C3BF7568-B8CE-4CFD-B8C6-F0CD9BB437B2}"/>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33FAB0F4-4BD5-413B-9922-ADCDC2BE1483}"/>
    <cellStyle name="Currency 5 2 4 11" xfId="8880" xr:uid="{278FEABB-6159-4EB7-B882-880F0D832CE9}"/>
    <cellStyle name="Currency 5 2 4 2" xfId="206" xr:uid="{00000000-0005-0000-0000-0000250C0000}"/>
    <cellStyle name="Currency 5 2 4 2 10" xfId="8881" xr:uid="{DFA8B11F-7F4B-431E-948B-E5EDEFA6598D}"/>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B46ACC19-ECE5-4A27-9920-C88B031C251F}"/>
    <cellStyle name="Currency 5 2 4 2 2 2 3" xfId="11440" xr:uid="{E82CA1D4-AE9D-4BD5-AE6C-BC220989AB6F}"/>
    <cellStyle name="Currency 5 2 4 2 2 3" xfId="5063" xr:uid="{00000000-0005-0000-0000-0000290C0000}"/>
    <cellStyle name="Currency 5 2 4 2 2 3 2" xfId="13513" xr:uid="{92E3E0B2-F56F-44B9-877C-4E424A2CCFDE}"/>
    <cellStyle name="Currency 5 2 4 2 2 4" xfId="9295" xr:uid="{B11C8908-6CC9-461A-AF4B-DAC4CFE56FD7}"/>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C983A7D7-3D00-459B-9EAB-33BB5FCC48EC}"/>
    <cellStyle name="Currency 5 2 4 2 3 2 3" xfId="11853" xr:uid="{C079C8C7-FC47-46CB-8EE7-57F868452BB8}"/>
    <cellStyle name="Currency 5 2 4 2 3 3" xfId="5476" xr:uid="{00000000-0005-0000-0000-00002D0C0000}"/>
    <cellStyle name="Currency 5 2 4 2 3 3 2" xfId="13926" xr:uid="{9BBCF71F-2901-4887-80EE-137AE17B0E6A}"/>
    <cellStyle name="Currency 5 2 4 2 3 4" xfId="9708" xr:uid="{ACCC970B-0FC1-4507-900D-0E554942E506}"/>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9C2C9CC7-40E2-4992-913B-6D055AEA2B53}"/>
    <cellStyle name="Currency 5 2 4 2 4 2 3" xfId="12266" xr:uid="{A53EADC6-0ABB-4425-A2F7-8301DB22057F}"/>
    <cellStyle name="Currency 5 2 4 2 4 3" xfId="5889" xr:uid="{00000000-0005-0000-0000-0000310C0000}"/>
    <cellStyle name="Currency 5 2 4 2 4 3 2" xfId="14339" xr:uid="{B533D9A7-B74D-47DB-A9E8-9F2A3304BF6E}"/>
    <cellStyle name="Currency 5 2 4 2 4 4" xfId="10121" xr:uid="{DCE1B293-B91C-4D92-826A-10342D45DD1B}"/>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3B3A743A-67C5-497D-8332-223125C3CF3E}"/>
    <cellStyle name="Currency 5 2 4 2 5 2 3" xfId="12679" xr:uid="{FD23E15B-C87A-4301-9B24-7836E05A0CF5}"/>
    <cellStyle name="Currency 5 2 4 2 5 3" xfId="6302" xr:uid="{00000000-0005-0000-0000-0000350C0000}"/>
    <cellStyle name="Currency 5 2 4 2 5 3 2" xfId="14752" xr:uid="{DA15A58C-4AA3-4F2D-930A-710D900F104E}"/>
    <cellStyle name="Currency 5 2 4 2 5 4" xfId="10534" xr:uid="{1D5F6E0B-5F0A-4827-96F3-F9C11576C9A7}"/>
    <cellStyle name="Currency 5 2 4 2 6" xfId="2431" xr:uid="{00000000-0005-0000-0000-0000360C0000}"/>
    <cellStyle name="Currency 5 2 4 2 6 2" xfId="6715" xr:uid="{00000000-0005-0000-0000-0000370C0000}"/>
    <cellStyle name="Currency 5 2 4 2 6 2 2" xfId="15165" xr:uid="{BCA9C552-5799-428A-BEE8-8AD78CC1018C}"/>
    <cellStyle name="Currency 5 2 4 2 6 3" xfId="10947" xr:uid="{705C0984-DDEC-45B9-8A83-E424E1549005}"/>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2FB70153-C07A-4AAB-9E26-623EEACB1748}"/>
    <cellStyle name="Currency 5 2 4 2 8 3" xfId="11264" xr:uid="{953EA1D4-80F0-4238-8593-9BCA852AE708}"/>
    <cellStyle name="Currency 5 2 4 2 9" xfId="4649" xr:uid="{00000000-0005-0000-0000-00003B0C0000}"/>
    <cellStyle name="Currency 5 2 4 2 9 2" xfId="13099" xr:uid="{0B8B0E6F-FD60-4F52-9D72-9B941B04C41C}"/>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4B8DA5EA-F357-42C8-B08E-E80F25626901}"/>
    <cellStyle name="Currency 5 2 4 3 2 3" xfId="11439" xr:uid="{CE536FA4-08DE-41D6-B7FC-66A0E7DE8E31}"/>
    <cellStyle name="Currency 5 2 4 3 3" xfId="5062" xr:uid="{00000000-0005-0000-0000-00003F0C0000}"/>
    <cellStyle name="Currency 5 2 4 3 3 2" xfId="13512" xr:uid="{6B9DA0B5-F38B-4714-8AFF-5B1CDFEB351D}"/>
    <cellStyle name="Currency 5 2 4 3 4" xfId="9294" xr:uid="{9ECA1069-3BC2-486F-A0E0-74085EA62171}"/>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A862AB79-6864-499F-B4AA-95D1A7D424D7}"/>
    <cellStyle name="Currency 5 2 4 4 2 3" xfId="11852" xr:uid="{7A9A5100-413C-467F-83C7-7A16525281F8}"/>
    <cellStyle name="Currency 5 2 4 4 3" xfId="5475" xr:uid="{00000000-0005-0000-0000-0000430C0000}"/>
    <cellStyle name="Currency 5 2 4 4 3 2" xfId="13925" xr:uid="{662B82E5-DC32-4406-B588-C13830CDB6B6}"/>
    <cellStyle name="Currency 5 2 4 4 4" xfId="9707" xr:uid="{B301F387-1A84-47F2-941E-0738232ABF25}"/>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D208780B-4B11-4EAA-BEA2-833A6B8446B0}"/>
    <cellStyle name="Currency 5 2 4 5 2 3" xfId="12265" xr:uid="{30F2C9B7-9799-4198-BD14-731670D17A0A}"/>
    <cellStyle name="Currency 5 2 4 5 3" xfId="5888" xr:uid="{00000000-0005-0000-0000-0000470C0000}"/>
    <cellStyle name="Currency 5 2 4 5 3 2" xfId="14338" xr:uid="{B07C4DBB-9A04-4345-BAA5-2FEFA013031F}"/>
    <cellStyle name="Currency 5 2 4 5 4" xfId="10120" xr:uid="{458FC951-D8FD-4A4E-BB68-65FD54AE4C27}"/>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E196D443-A2E2-4FD7-A88C-273CFE4D85DD}"/>
    <cellStyle name="Currency 5 2 4 6 2 3" xfId="12678" xr:uid="{9A10455B-859F-4745-85F7-6D7D5129B42B}"/>
    <cellStyle name="Currency 5 2 4 6 3" xfId="6301" xr:uid="{00000000-0005-0000-0000-00004B0C0000}"/>
    <cellStyle name="Currency 5 2 4 6 3 2" xfId="14751" xr:uid="{31FEA089-91FF-4B32-A6E8-BD5C4852D799}"/>
    <cellStyle name="Currency 5 2 4 6 4" xfId="10533" xr:uid="{1E929646-630C-45C1-A1BC-3B0DEC80591D}"/>
    <cellStyle name="Currency 5 2 4 7" xfId="2430" xr:uid="{00000000-0005-0000-0000-00004C0C0000}"/>
    <cellStyle name="Currency 5 2 4 7 2" xfId="6714" xr:uid="{00000000-0005-0000-0000-00004D0C0000}"/>
    <cellStyle name="Currency 5 2 4 7 2 2" xfId="15164" xr:uid="{440529F6-335C-4921-963C-A7E7273984F1}"/>
    <cellStyle name="Currency 5 2 4 7 3" xfId="10946" xr:uid="{C67D9C34-FF64-4D78-B965-244CE6DD276A}"/>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8E845CB8-404A-4C6A-B8F5-A43484BCD828}"/>
    <cellStyle name="Currency 5 2 4 9 3" xfId="11263" xr:uid="{C3230360-3E04-4259-B6DD-024A358375BE}"/>
    <cellStyle name="Currency 5 2 5" xfId="207" xr:uid="{00000000-0005-0000-0000-0000510C0000}"/>
    <cellStyle name="Currency 5 2 5 10" xfId="8882" xr:uid="{BF7E5258-EA82-42FC-BBED-6C5081A031E9}"/>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06B8C41F-47C6-4778-8D76-2BB07CBE62AA}"/>
    <cellStyle name="Currency 5 2 5 2 2 3" xfId="11441" xr:uid="{67B6E930-FCE6-4925-8865-9609933A65D6}"/>
    <cellStyle name="Currency 5 2 5 2 3" xfId="5064" xr:uid="{00000000-0005-0000-0000-0000550C0000}"/>
    <cellStyle name="Currency 5 2 5 2 3 2" xfId="13514" xr:uid="{D5E106F5-208A-4F5D-BF43-B9142A9C1302}"/>
    <cellStyle name="Currency 5 2 5 2 4" xfId="9296" xr:uid="{506C1DA1-2103-451E-9A1F-22548E212711}"/>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5FBE6905-F840-4C28-AA5E-BB1F48456890}"/>
    <cellStyle name="Currency 5 2 5 3 2 3" xfId="11854" xr:uid="{2667A011-4FC5-42CA-AF83-E62D330A2793}"/>
    <cellStyle name="Currency 5 2 5 3 3" xfId="5477" xr:uid="{00000000-0005-0000-0000-0000590C0000}"/>
    <cellStyle name="Currency 5 2 5 3 3 2" xfId="13927" xr:uid="{B4039489-A72C-48C0-A754-3979F6B55114}"/>
    <cellStyle name="Currency 5 2 5 3 4" xfId="9709" xr:uid="{119B74C4-DEB7-4784-8E8B-438C95DA6E00}"/>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1B88BBB2-8434-48A5-82E6-D65137103FEE}"/>
    <cellStyle name="Currency 5 2 5 4 2 3" xfId="12267" xr:uid="{21586615-1B9E-4715-ADE0-DCCF25D49212}"/>
    <cellStyle name="Currency 5 2 5 4 3" xfId="5890" xr:uid="{00000000-0005-0000-0000-00005D0C0000}"/>
    <cellStyle name="Currency 5 2 5 4 3 2" xfId="14340" xr:uid="{24F7D16C-7A27-4D90-8A18-83AC54ECF433}"/>
    <cellStyle name="Currency 5 2 5 4 4" xfId="10122" xr:uid="{7EC99983-5F1E-474A-96FA-93117615A4F4}"/>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16DCA289-1A19-403D-9BE5-A2FD53CD3AB6}"/>
    <cellStyle name="Currency 5 2 5 5 2 3" xfId="12680" xr:uid="{22DD60E9-C00F-4C26-B1B2-99900E90F65A}"/>
    <cellStyle name="Currency 5 2 5 5 3" xfId="6303" xr:uid="{00000000-0005-0000-0000-0000610C0000}"/>
    <cellStyle name="Currency 5 2 5 5 3 2" xfId="14753" xr:uid="{87CC1CF1-379C-4181-B5DF-C45F2FABE5FA}"/>
    <cellStyle name="Currency 5 2 5 5 4" xfId="10535" xr:uid="{1C758DBE-9DAA-4875-8E00-50EE3CDCC129}"/>
    <cellStyle name="Currency 5 2 5 6" xfId="2432" xr:uid="{00000000-0005-0000-0000-0000620C0000}"/>
    <cellStyle name="Currency 5 2 5 6 2" xfId="6716" xr:uid="{00000000-0005-0000-0000-0000630C0000}"/>
    <cellStyle name="Currency 5 2 5 6 2 2" xfId="15166" xr:uid="{D5E54E63-3139-4A19-B1AA-84AB50F67808}"/>
    <cellStyle name="Currency 5 2 5 6 3" xfId="10948" xr:uid="{8B19D7C8-89C8-43CF-91C9-3630E6A1FF84}"/>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4B4D0F5E-B954-414C-BBC0-D950A3D59792}"/>
    <cellStyle name="Currency 5 2 5 8 3" xfId="11265" xr:uid="{1976A608-93A5-41B0-BB1C-EB8B86AB0975}"/>
    <cellStyle name="Currency 5 2 5 9" xfId="4650" xr:uid="{00000000-0005-0000-0000-0000670C0000}"/>
    <cellStyle name="Currency 5 2 5 9 2" xfId="13100" xr:uid="{BD033A68-0980-426A-82AD-755AFDAEE7CD}"/>
    <cellStyle name="Currency 5 2 6" xfId="208" xr:uid="{00000000-0005-0000-0000-0000680C0000}"/>
    <cellStyle name="Currency 5 2 6 10" xfId="8883" xr:uid="{90814398-5D37-4997-8BF0-262642BE17A2}"/>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5817B249-01A0-478E-AA77-4F76B3B4B763}"/>
    <cellStyle name="Currency 5 2 6 2 2 3" xfId="11442" xr:uid="{0BD3F4CB-C9D2-4979-B429-D859FF3999F9}"/>
    <cellStyle name="Currency 5 2 6 2 3" xfId="5065" xr:uid="{00000000-0005-0000-0000-00006C0C0000}"/>
    <cellStyle name="Currency 5 2 6 2 3 2" xfId="13515" xr:uid="{0367FCA5-4801-4A65-B933-31CFBA909F2C}"/>
    <cellStyle name="Currency 5 2 6 2 4" xfId="9297" xr:uid="{A063011A-893D-4A81-A243-46A0142EA9D7}"/>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F1FCB470-187A-4E3D-B794-31D17F00692E}"/>
    <cellStyle name="Currency 5 2 6 3 2 3" xfId="11855" xr:uid="{2CDB8295-74B6-4993-87AA-45B1017C16D9}"/>
    <cellStyle name="Currency 5 2 6 3 3" xfId="5478" xr:uid="{00000000-0005-0000-0000-0000700C0000}"/>
    <cellStyle name="Currency 5 2 6 3 3 2" xfId="13928" xr:uid="{EE81B6B4-7795-419F-91D2-3FC0A6693E67}"/>
    <cellStyle name="Currency 5 2 6 3 4" xfId="9710" xr:uid="{5656402F-6250-4938-93F0-C4D1293F6CBB}"/>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E795AFB2-30FF-401E-9846-FE8411D64DE7}"/>
    <cellStyle name="Currency 5 2 6 4 2 3" xfId="12268" xr:uid="{0940A6CA-2FD0-4276-A7E5-55451DD45925}"/>
    <cellStyle name="Currency 5 2 6 4 3" xfId="5891" xr:uid="{00000000-0005-0000-0000-0000740C0000}"/>
    <cellStyle name="Currency 5 2 6 4 3 2" xfId="14341" xr:uid="{A765BABF-86CC-4DD2-81F9-AD2823EAB907}"/>
    <cellStyle name="Currency 5 2 6 4 4" xfId="10123" xr:uid="{5A756C3C-24D8-4A2D-BA57-18E519B03F5D}"/>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5A726266-F68B-408D-8CDD-EA3119D515B1}"/>
    <cellStyle name="Currency 5 2 6 5 2 3" xfId="12681" xr:uid="{0AF357DC-0074-4796-A3C9-656FCEBCD935}"/>
    <cellStyle name="Currency 5 2 6 5 3" xfId="6304" xr:uid="{00000000-0005-0000-0000-0000780C0000}"/>
    <cellStyle name="Currency 5 2 6 5 3 2" xfId="14754" xr:uid="{C79BC5A2-88AD-40F9-BE9F-EB284323B0EC}"/>
    <cellStyle name="Currency 5 2 6 5 4" xfId="10536" xr:uid="{E93B5049-E1E9-4ADD-AEA6-6AF59FE3C463}"/>
    <cellStyle name="Currency 5 2 6 6" xfId="2433" xr:uid="{00000000-0005-0000-0000-0000790C0000}"/>
    <cellStyle name="Currency 5 2 6 6 2" xfId="6717" xr:uid="{00000000-0005-0000-0000-00007A0C0000}"/>
    <cellStyle name="Currency 5 2 6 6 2 2" xfId="15167" xr:uid="{7DF56DB7-2498-4B48-97F5-B9C2090B5AB3}"/>
    <cellStyle name="Currency 5 2 6 6 3" xfId="10949" xr:uid="{1F8CF542-6B9B-4865-95AF-9155EDAA6B7E}"/>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6FE7F606-8A55-4732-8ECE-9AEFC000A31D}"/>
    <cellStyle name="Currency 5 2 6 8 3" xfId="11266" xr:uid="{34899FAE-B642-4ECB-ABF4-4FDE67C43BA6}"/>
    <cellStyle name="Currency 5 2 6 9" xfId="4651" xr:uid="{00000000-0005-0000-0000-00007E0C0000}"/>
    <cellStyle name="Currency 5 2 6 9 2" xfId="13101" xr:uid="{9B9FD15E-9F34-4F32-ABAF-F5E3BB6BFE59}"/>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73405451-45F3-4498-994C-836EE11F81AD}"/>
    <cellStyle name="Currency 5 3 2 10 3" xfId="11267" xr:uid="{DFD5EFA5-F450-40B3-BB1D-21DFEB4A658D}"/>
    <cellStyle name="Currency 5 3 2 11" xfId="4652" xr:uid="{00000000-0005-0000-0000-0000840C0000}"/>
    <cellStyle name="Currency 5 3 2 11 2" xfId="13102" xr:uid="{B22F05A9-C647-4911-BEA4-83D7B247113C}"/>
    <cellStyle name="Currency 5 3 2 12" xfId="8884" xr:uid="{9147149F-D8AE-4E81-9150-FA65C54DC391}"/>
    <cellStyle name="Currency 5 3 2 2" xfId="211" xr:uid="{00000000-0005-0000-0000-0000850C0000}"/>
    <cellStyle name="Currency 5 3 2 2 10" xfId="4653" xr:uid="{00000000-0005-0000-0000-0000860C0000}"/>
    <cellStyle name="Currency 5 3 2 2 10 2" xfId="13103" xr:uid="{068E1480-6624-4D18-A32B-B34055203AE3}"/>
    <cellStyle name="Currency 5 3 2 2 11" xfId="8885" xr:uid="{CF59C6A6-5940-4687-A591-3BDCFFAD50C8}"/>
    <cellStyle name="Currency 5 3 2 2 2" xfId="212" xr:uid="{00000000-0005-0000-0000-0000870C0000}"/>
    <cellStyle name="Currency 5 3 2 2 2 10" xfId="8886" xr:uid="{F1C2C40C-B0EE-4B19-9745-3894952D545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03A3E960-4291-4704-ABF0-0C12F7D31A07}"/>
    <cellStyle name="Currency 5 3 2 2 2 2 2 3" xfId="11445" xr:uid="{134CB6B0-2E9F-40BD-BBD2-4D5EC3CC6896}"/>
    <cellStyle name="Currency 5 3 2 2 2 2 3" xfId="5068" xr:uid="{00000000-0005-0000-0000-00008B0C0000}"/>
    <cellStyle name="Currency 5 3 2 2 2 2 3 2" xfId="13518" xr:uid="{605A5E3D-9637-42BA-AEFD-E1DDD3656E5A}"/>
    <cellStyle name="Currency 5 3 2 2 2 2 4" xfId="9300" xr:uid="{17E2D416-A27A-4B0C-BE5A-B2845D2070AD}"/>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2943092F-080E-4D4A-BCE8-47467444381D}"/>
    <cellStyle name="Currency 5 3 2 2 2 3 2 3" xfId="11858" xr:uid="{7995B6F4-7177-49BB-96A6-FFD467C1EF1D}"/>
    <cellStyle name="Currency 5 3 2 2 2 3 3" xfId="5481" xr:uid="{00000000-0005-0000-0000-00008F0C0000}"/>
    <cellStyle name="Currency 5 3 2 2 2 3 3 2" xfId="13931" xr:uid="{6E85A1B1-6BFA-4EE7-AEE7-07FC5485778A}"/>
    <cellStyle name="Currency 5 3 2 2 2 3 4" xfId="9713" xr:uid="{3F3557E4-448B-4253-BC12-771EB189CC68}"/>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6E139D3C-3566-4592-913C-4B933462B1FF}"/>
    <cellStyle name="Currency 5 3 2 2 2 4 2 3" xfId="12271" xr:uid="{29654C76-AEA4-4B90-B2BA-22126B5372B8}"/>
    <cellStyle name="Currency 5 3 2 2 2 4 3" xfId="5894" xr:uid="{00000000-0005-0000-0000-0000930C0000}"/>
    <cellStyle name="Currency 5 3 2 2 2 4 3 2" xfId="14344" xr:uid="{F1256C3E-25D4-47AF-9C5F-8CD36678EB9C}"/>
    <cellStyle name="Currency 5 3 2 2 2 4 4" xfId="10126" xr:uid="{CD9D094E-8A80-4F04-8C05-97DE9CA39792}"/>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9FAEA842-5F9C-4048-A65B-0638FF59206D}"/>
    <cellStyle name="Currency 5 3 2 2 2 5 2 3" xfId="12684" xr:uid="{2E33204B-9A57-4EF1-9C32-A9391A58E7F2}"/>
    <cellStyle name="Currency 5 3 2 2 2 5 3" xfId="6307" xr:uid="{00000000-0005-0000-0000-0000970C0000}"/>
    <cellStyle name="Currency 5 3 2 2 2 5 3 2" xfId="14757" xr:uid="{01A7C6EC-D6F8-401A-B5C1-92499DF0DC27}"/>
    <cellStyle name="Currency 5 3 2 2 2 5 4" xfId="10539" xr:uid="{08BAB808-1894-4728-A6EB-2B59651FE170}"/>
    <cellStyle name="Currency 5 3 2 2 2 6" xfId="2436" xr:uid="{00000000-0005-0000-0000-0000980C0000}"/>
    <cellStyle name="Currency 5 3 2 2 2 6 2" xfId="6720" xr:uid="{00000000-0005-0000-0000-0000990C0000}"/>
    <cellStyle name="Currency 5 3 2 2 2 6 2 2" xfId="15170" xr:uid="{E7C9BC46-8336-4E78-B4F3-E445190604C7}"/>
    <cellStyle name="Currency 5 3 2 2 2 6 3" xfId="10952" xr:uid="{7F18C2BB-F2BD-4788-B0F9-308398E7A72E}"/>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D9E724A3-67DA-49DC-8986-BDAD7EA28640}"/>
    <cellStyle name="Currency 5 3 2 2 2 8 3" xfId="11269" xr:uid="{1053BAE1-27EA-4D94-94B0-C2C77D078130}"/>
    <cellStyle name="Currency 5 3 2 2 2 9" xfId="4654" xr:uid="{00000000-0005-0000-0000-00009D0C0000}"/>
    <cellStyle name="Currency 5 3 2 2 2 9 2" xfId="13104" xr:uid="{BAD8DE32-059B-4936-8CAE-EBE994D94D39}"/>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B4558F9F-C3F1-46A8-9FC8-4D299B137E28}"/>
    <cellStyle name="Currency 5 3 2 2 3 2 3" xfId="11444" xr:uid="{45680B7D-F01B-43B5-94BD-6B6EEB437CA3}"/>
    <cellStyle name="Currency 5 3 2 2 3 3" xfId="5067" xr:uid="{00000000-0005-0000-0000-0000A10C0000}"/>
    <cellStyle name="Currency 5 3 2 2 3 3 2" xfId="13517" xr:uid="{190F3D2F-B467-4508-A9A3-CA80DB21FD49}"/>
    <cellStyle name="Currency 5 3 2 2 3 4" xfId="9299" xr:uid="{9EA7D67E-377D-4751-9C50-6C2BB400162D}"/>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9A92104F-BC32-4DF7-A9B2-CD644ED4748D}"/>
    <cellStyle name="Currency 5 3 2 2 4 2 3" xfId="11857" xr:uid="{A21DF969-FAA2-4724-82AD-4F02159EF073}"/>
    <cellStyle name="Currency 5 3 2 2 4 3" xfId="5480" xr:uid="{00000000-0005-0000-0000-0000A50C0000}"/>
    <cellStyle name="Currency 5 3 2 2 4 3 2" xfId="13930" xr:uid="{5F87C99B-2D35-4785-B415-9BBC52D6F463}"/>
    <cellStyle name="Currency 5 3 2 2 4 4" xfId="9712" xr:uid="{3C456264-8FD0-4522-8839-F61FB3CDD82F}"/>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054A8DD0-B378-4397-8F65-5E3F4F114704}"/>
    <cellStyle name="Currency 5 3 2 2 5 2 3" xfId="12270" xr:uid="{61F95601-BFC9-4FC3-A051-56093A509827}"/>
    <cellStyle name="Currency 5 3 2 2 5 3" xfId="5893" xr:uid="{00000000-0005-0000-0000-0000A90C0000}"/>
    <cellStyle name="Currency 5 3 2 2 5 3 2" xfId="14343" xr:uid="{4FCECC28-45A9-4C8F-B0E0-83917F4C0790}"/>
    <cellStyle name="Currency 5 3 2 2 5 4" xfId="10125" xr:uid="{343BBA2D-3202-4437-B703-FF32DA5E443E}"/>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99B52774-B9C5-421B-8574-B3DA62638075}"/>
    <cellStyle name="Currency 5 3 2 2 6 2 3" xfId="12683" xr:uid="{DC7638C3-328E-4C0F-ADC0-7425015081B9}"/>
    <cellStyle name="Currency 5 3 2 2 6 3" xfId="6306" xr:uid="{00000000-0005-0000-0000-0000AD0C0000}"/>
    <cellStyle name="Currency 5 3 2 2 6 3 2" xfId="14756" xr:uid="{BBC6C964-35DF-44E3-8B06-8515B10D3CFB}"/>
    <cellStyle name="Currency 5 3 2 2 6 4" xfId="10538" xr:uid="{5E1D0673-75E8-4F0A-9A79-96B0A330F418}"/>
    <cellStyle name="Currency 5 3 2 2 7" xfId="2435" xr:uid="{00000000-0005-0000-0000-0000AE0C0000}"/>
    <cellStyle name="Currency 5 3 2 2 7 2" xfId="6719" xr:uid="{00000000-0005-0000-0000-0000AF0C0000}"/>
    <cellStyle name="Currency 5 3 2 2 7 2 2" xfId="15169" xr:uid="{6114F547-F7C8-4AAC-B5DC-188CD28C4CC7}"/>
    <cellStyle name="Currency 5 3 2 2 7 3" xfId="10951" xr:uid="{269ED94D-AEA5-4FE0-B5B6-1614CE391D2A}"/>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C2CF2644-99FA-43DF-8156-3B82489D09CA}"/>
    <cellStyle name="Currency 5 3 2 2 9 3" xfId="11268" xr:uid="{54797D35-2237-4B63-895A-E192CBCE5927}"/>
    <cellStyle name="Currency 5 3 2 3" xfId="213" xr:uid="{00000000-0005-0000-0000-0000B30C0000}"/>
    <cellStyle name="Currency 5 3 2 3 10" xfId="8887" xr:uid="{F77F29EA-B2C4-4D96-91FE-471B7E12119F}"/>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5A95749E-6E03-4DA5-A123-6FF2110FC325}"/>
    <cellStyle name="Currency 5 3 2 3 2 2 3" xfId="11446" xr:uid="{A2B01DE6-A044-4C6D-85A4-4D07BC85FFC6}"/>
    <cellStyle name="Currency 5 3 2 3 2 3" xfId="5069" xr:uid="{00000000-0005-0000-0000-0000B70C0000}"/>
    <cellStyle name="Currency 5 3 2 3 2 3 2" xfId="13519" xr:uid="{F1B8E834-DAD0-46A5-B793-C3F2C058AD26}"/>
    <cellStyle name="Currency 5 3 2 3 2 4" xfId="9301" xr:uid="{8F91BDFC-F005-420A-AE95-7D8296C467C3}"/>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858A409F-1DEC-43C7-87FC-2EEAC3796904}"/>
    <cellStyle name="Currency 5 3 2 3 3 2 3" xfId="11859" xr:uid="{356CA6C9-0FEF-43A5-A10A-C516590810FD}"/>
    <cellStyle name="Currency 5 3 2 3 3 3" xfId="5482" xr:uid="{00000000-0005-0000-0000-0000BB0C0000}"/>
    <cellStyle name="Currency 5 3 2 3 3 3 2" xfId="13932" xr:uid="{3898B104-44B3-4D8C-BA3C-695A6C4753EF}"/>
    <cellStyle name="Currency 5 3 2 3 3 4" xfId="9714" xr:uid="{FD774D62-182F-48E0-9798-B2037374EC71}"/>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60E5BF03-9FED-4635-8650-A1C1AC35BD2A}"/>
    <cellStyle name="Currency 5 3 2 3 4 2 3" xfId="12272" xr:uid="{83E478B3-EE5A-44D8-B67F-71894604141B}"/>
    <cellStyle name="Currency 5 3 2 3 4 3" xfId="5895" xr:uid="{00000000-0005-0000-0000-0000BF0C0000}"/>
    <cellStyle name="Currency 5 3 2 3 4 3 2" xfId="14345" xr:uid="{2ADAAFB1-856B-460F-876C-E8C5AC8060D1}"/>
    <cellStyle name="Currency 5 3 2 3 4 4" xfId="10127" xr:uid="{A1BC4AC6-FBA1-46E2-80C0-81904EDBBBC4}"/>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BAB198B3-A855-4047-8407-89FC5B649087}"/>
    <cellStyle name="Currency 5 3 2 3 5 2 3" xfId="12685" xr:uid="{409A8B7A-94BB-491D-89DF-51D1DD8E9F2D}"/>
    <cellStyle name="Currency 5 3 2 3 5 3" xfId="6308" xr:uid="{00000000-0005-0000-0000-0000C30C0000}"/>
    <cellStyle name="Currency 5 3 2 3 5 3 2" xfId="14758" xr:uid="{BE0992DA-C8E2-43BF-BAF9-480B57D1BB61}"/>
    <cellStyle name="Currency 5 3 2 3 5 4" xfId="10540" xr:uid="{B83B3FEA-5707-483D-A4E8-E52729EB9053}"/>
    <cellStyle name="Currency 5 3 2 3 6" xfId="2437" xr:uid="{00000000-0005-0000-0000-0000C40C0000}"/>
    <cellStyle name="Currency 5 3 2 3 6 2" xfId="6721" xr:uid="{00000000-0005-0000-0000-0000C50C0000}"/>
    <cellStyle name="Currency 5 3 2 3 6 2 2" xfId="15171" xr:uid="{3590D7EC-904B-4A27-9AE0-0A0B3BB37924}"/>
    <cellStyle name="Currency 5 3 2 3 6 3" xfId="10953" xr:uid="{8F5847BD-F873-477C-BF5A-31E986433A6B}"/>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4A955D0B-AD2A-488C-BC90-DE66F412455B}"/>
    <cellStyle name="Currency 5 3 2 3 8 3" xfId="11270" xr:uid="{7E7E6700-583E-4603-8459-4B99063231E5}"/>
    <cellStyle name="Currency 5 3 2 3 9" xfId="4655" xr:uid="{00000000-0005-0000-0000-0000C90C0000}"/>
    <cellStyle name="Currency 5 3 2 3 9 2" xfId="13105" xr:uid="{7CDFA8DD-308D-47AA-868F-BD44B4F0828D}"/>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E93DE98F-2F95-4E05-B3E8-483015FF6965}"/>
    <cellStyle name="Currency 5 3 2 4 2 3" xfId="11443" xr:uid="{F337412D-FEA5-4480-B352-F0E5232E34B6}"/>
    <cellStyle name="Currency 5 3 2 4 3" xfId="5066" xr:uid="{00000000-0005-0000-0000-0000CD0C0000}"/>
    <cellStyle name="Currency 5 3 2 4 3 2" xfId="13516" xr:uid="{879E4193-DCD2-4E5E-B7BE-9B593A579E34}"/>
    <cellStyle name="Currency 5 3 2 4 4" xfId="9298" xr:uid="{4B028730-6AF1-4F1C-BEA8-03251FC9899E}"/>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0A230F8B-CB36-491B-A503-8F2B6F9B5AB5}"/>
    <cellStyle name="Currency 5 3 2 5 2 3" xfId="11856" xr:uid="{4A514581-4C6D-4B0E-BD3D-7D7003230C02}"/>
    <cellStyle name="Currency 5 3 2 5 3" xfId="5479" xr:uid="{00000000-0005-0000-0000-0000D10C0000}"/>
    <cellStyle name="Currency 5 3 2 5 3 2" xfId="13929" xr:uid="{BF455A77-9D29-4784-9AA6-F94BE3AE83EE}"/>
    <cellStyle name="Currency 5 3 2 5 4" xfId="9711" xr:uid="{12212EC1-5060-45D3-9D0B-C6A520022ABE}"/>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33D1238D-9332-4D64-8EDA-C6B929E39420}"/>
    <cellStyle name="Currency 5 3 2 6 2 3" xfId="12269" xr:uid="{D09953E7-049F-4574-999A-C105E7AA8E1C}"/>
    <cellStyle name="Currency 5 3 2 6 3" xfId="5892" xr:uid="{00000000-0005-0000-0000-0000D50C0000}"/>
    <cellStyle name="Currency 5 3 2 6 3 2" xfId="14342" xr:uid="{2E3E74AF-2833-460D-BE3E-F6B82A340B56}"/>
    <cellStyle name="Currency 5 3 2 6 4" xfId="10124" xr:uid="{B765717A-807E-41B1-94B4-2DB6071F943B}"/>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C1156C3A-B6FC-4C8E-A1B7-0F9B54834D72}"/>
    <cellStyle name="Currency 5 3 2 7 2 3" xfId="12682" xr:uid="{0B943911-1837-4CEA-8FB4-44D37077E1B6}"/>
    <cellStyle name="Currency 5 3 2 7 3" xfId="6305" xr:uid="{00000000-0005-0000-0000-0000D90C0000}"/>
    <cellStyle name="Currency 5 3 2 7 3 2" xfId="14755" xr:uid="{BABD5C15-3E2E-4042-8E7D-7133BF15D26D}"/>
    <cellStyle name="Currency 5 3 2 7 4" xfId="10537" xr:uid="{81C969E5-F98C-47E4-A8BE-A882E36CD63F}"/>
    <cellStyle name="Currency 5 3 2 8" xfId="2434" xr:uid="{00000000-0005-0000-0000-0000DA0C0000}"/>
    <cellStyle name="Currency 5 3 2 8 2" xfId="6718" xr:uid="{00000000-0005-0000-0000-0000DB0C0000}"/>
    <cellStyle name="Currency 5 3 2 8 2 2" xfId="15168" xr:uid="{D1F670CE-DFC3-41C1-B887-8C7AC60BC4A8}"/>
    <cellStyle name="Currency 5 3 2 8 3" xfId="10950" xr:uid="{EADA55D9-2BFD-4300-B09E-D7212528D27B}"/>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DB2FB5E2-B871-4949-87A6-DEE63CC44795}"/>
    <cellStyle name="Currency 5 3 3 11" xfId="8888" xr:uid="{B1E50B6B-1AF9-4FD5-88CF-E7209925B90E}"/>
    <cellStyle name="Currency 5 3 3 2" xfId="215" xr:uid="{00000000-0005-0000-0000-0000DF0C0000}"/>
    <cellStyle name="Currency 5 3 3 2 10" xfId="8889" xr:uid="{8F8A4FA9-535D-429A-AF01-9A8F889E0BEE}"/>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7523CD8B-00A8-4158-B778-4FE6959EDCC6}"/>
    <cellStyle name="Currency 5 3 3 2 2 2 3" xfId="11448" xr:uid="{E6A63A03-8BE2-4555-8021-B324515D4FD8}"/>
    <cellStyle name="Currency 5 3 3 2 2 3" xfId="5071" xr:uid="{00000000-0005-0000-0000-0000E30C0000}"/>
    <cellStyle name="Currency 5 3 3 2 2 3 2" xfId="13521" xr:uid="{2DCE4DB6-6032-4DE6-ADD0-9F4D3790593B}"/>
    <cellStyle name="Currency 5 3 3 2 2 4" xfId="9303" xr:uid="{7F9E30CF-25F8-4284-A34C-F5B64AE78AAB}"/>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09CD5BED-80E3-4217-B5BD-C043D75DB6AE}"/>
    <cellStyle name="Currency 5 3 3 2 3 2 3" xfId="11861" xr:uid="{7C550335-39BE-4918-83C5-4D9389907798}"/>
    <cellStyle name="Currency 5 3 3 2 3 3" xfId="5484" xr:uid="{00000000-0005-0000-0000-0000E70C0000}"/>
    <cellStyle name="Currency 5 3 3 2 3 3 2" xfId="13934" xr:uid="{257F77D7-B7A6-4C3B-AFBC-6E75E1634492}"/>
    <cellStyle name="Currency 5 3 3 2 3 4" xfId="9716" xr:uid="{B92B851D-3BF3-475F-84C2-78640A96296B}"/>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645E1156-4D9D-4A7B-8203-F3C4A3AA8BF4}"/>
    <cellStyle name="Currency 5 3 3 2 4 2 3" xfId="12274" xr:uid="{866A677C-47ED-4E25-8D93-BDF26250FDB4}"/>
    <cellStyle name="Currency 5 3 3 2 4 3" xfId="5897" xr:uid="{00000000-0005-0000-0000-0000EB0C0000}"/>
    <cellStyle name="Currency 5 3 3 2 4 3 2" xfId="14347" xr:uid="{312DE1D0-F85F-414A-A3FD-938D61D4BB74}"/>
    <cellStyle name="Currency 5 3 3 2 4 4" xfId="10129" xr:uid="{362895D1-4697-40EE-BE34-944CA39BFDA8}"/>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BFEC07AF-40BC-49A5-A996-86537C78C195}"/>
    <cellStyle name="Currency 5 3 3 2 5 2 3" xfId="12687" xr:uid="{47B20EF0-5C07-4209-B59A-C69E502C12C1}"/>
    <cellStyle name="Currency 5 3 3 2 5 3" xfId="6310" xr:uid="{00000000-0005-0000-0000-0000EF0C0000}"/>
    <cellStyle name="Currency 5 3 3 2 5 3 2" xfId="14760" xr:uid="{988960C3-6EFD-4CD0-B8D5-5CE2E81AEA7E}"/>
    <cellStyle name="Currency 5 3 3 2 5 4" xfId="10542" xr:uid="{48BB875B-C6C8-48B7-BADB-44F59001FBA0}"/>
    <cellStyle name="Currency 5 3 3 2 6" xfId="2439" xr:uid="{00000000-0005-0000-0000-0000F00C0000}"/>
    <cellStyle name="Currency 5 3 3 2 6 2" xfId="6723" xr:uid="{00000000-0005-0000-0000-0000F10C0000}"/>
    <cellStyle name="Currency 5 3 3 2 6 2 2" xfId="15173" xr:uid="{E4745659-6AD5-45B2-B021-24FB120B1117}"/>
    <cellStyle name="Currency 5 3 3 2 6 3" xfId="10955" xr:uid="{1E8358C4-2BC3-42AA-82E1-DDCF25F0D872}"/>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AE1052CE-C7A0-4D16-B14F-D3EFC8BD98D5}"/>
    <cellStyle name="Currency 5 3 3 2 8 3" xfId="11272" xr:uid="{AE42E6A4-6F2D-4187-8CBA-40CB2938C94A}"/>
    <cellStyle name="Currency 5 3 3 2 9" xfId="4657" xr:uid="{00000000-0005-0000-0000-0000F50C0000}"/>
    <cellStyle name="Currency 5 3 3 2 9 2" xfId="13107" xr:uid="{7DD433A1-B10F-4C5B-8FF8-37F3DBF32BA2}"/>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DC0A3FD4-7083-4084-97FC-99B97D969D8B}"/>
    <cellStyle name="Currency 5 3 3 3 2 3" xfId="11447" xr:uid="{F0D102CF-35E5-4D80-B6F3-FBFCCE6B9D3A}"/>
    <cellStyle name="Currency 5 3 3 3 3" xfId="5070" xr:uid="{00000000-0005-0000-0000-0000F90C0000}"/>
    <cellStyle name="Currency 5 3 3 3 3 2" xfId="13520" xr:uid="{92AEF864-D8BA-46D2-ADE5-1D1C6C69B6A8}"/>
    <cellStyle name="Currency 5 3 3 3 4" xfId="9302" xr:uid="{36919A17-A5CE-45C8-B1EF-17279CEDE0A5}"/>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2BF00DA5-BD02-4C3B-83D0-AA517AEDC822}"/>
    <cellStyle name="Currency 5 3 3 4 2 3" xfId="11860" xr:uid="{52B0F1CC-B12E-49D6-9FBC-0B8E69457F1F}"/>
    <cellStyle name="Currency 5 3 3 4 3" xfId="5483" xr:uid="{00000000-0005-0000-0000-0000FD0C0000}"/>
    <cellStyle name="Currency 5 3 3 4 3 2" xfId="13933" xr:uid="{6F3D2DC2-9FBB-451B-B4BF-7765CA9EEB40}"/>
    <cellStyle name="Currency 5 3 3 4 4" xfId="9715" xr:uid="{20D2B3FE-8AD9-4098-9D63-481B35E9481A}"/>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C69F8332-26ED-4AA8-9845-17EF6550C369}"/>
    <cellStyle name="Currency 5 3 3 5 2 3" xfId="12273" xr:uid="{166304D7-9D21-47FA-965B-AD9DDD258253}"/>
    <cellStyle name="Currency 5 3 3 5 3" xfId="5896" xr:uid="{00000000-0005-0000-0000-0000010D0000}"/>
    <cellStyle name="Currency 5 3 3 5 3 2" xfId="14346" xr:uid="{BAFC16C7-9663-495B-A80C-799F5E5AB481}"/>
    <cellStyle name="Currency 5 3 3 5 4" xfId="10128" xr:uid="{6670076C-0FFD-4994-ABC5-D3352E8B8A85}"/>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5B26E1A6-82B9-4B73-A822-F50CEBA8722B}"/>
    <cellStyle name="Currency 5 3 3 6 2 3" xfId="12686" xr:uid="{30230412-B58B-4578-BCFC-4C967AF8E5B0}"/>
    <cellStyle name="Currency 5 3 3 6 3" xfId="6309" xr:uid="{00000000-0005-0000-0000-0000050D0000}"/>
    <cellStyle name="Currency 5 3 3 6 3 2" xfId="14759" xr:uid="{EFDFF33E-4B8E-46C7-A749-80E8D0FAA870}"/>
    <cellStyle name="Currency 5 3 3 6 4" xfId="10541" xr:uid="{225EF06A-D2A9-4E6B-8B32-80785C07AB0A}"/>
    <cellStyle name="Currency 5 3 3 7" xfId="2438" xr:uid="{00000000-0005-0000-0000-0000060D0000}"/>
    <cellStyle name="Currency 5 3 3 7 2" xfId="6722" xr:uid="{00000000-0005-0000-0000-0000070D0000}"/>
    <cellStyle name="Currency 5 3 3 7 2 2" xfId="15172" xr:uid="{AD26CD7A-2EAF-45E1-AE2E-C790D7DDF1FF}"/>
    <cellStyle name="Currency 5 3 3 7 3" xfId="10954" xr:uid="{7B723C05-59CA-480D-BC7E-2ABDAB764F0C}"/>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312C0A22-399B-4300-BCE8-2EF2600066D9}"/>
    <cellStyle name="Currency 5 3 3 9 3" xfId="11271" xr:uid="{AB7C7BF0-4B93-45AB-957E-1AE1AE9DC9EA}"/>
    <cellStyle name="Currency 5 3 4" xfId="216" xr:uid="{00000000-0005-0000-0000-00000B0D0000}"/>
    <cellStyle name="Currency 5 3 4 10" xfId="8890" xr:uid="{D0167735-1F34-45C3-9C62-7EB07C575F4E}"/>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6EEA61BE-10D0-49F7-9FAB-9ECF72612F76}"/>
    <cellStyle name="Currency 5 3 4 2 2 3" xfId="11449" xr:uid="{00143B5A-C14F-4D0B-ADC4-B7790C362FCE}"/>
    <cellStyle name="Currency 5 3 4 2 3" xfId="5072" xr:uid="{00000000-0005-0000-0000-00000F0D0000}"/>
    <cellStyle name="Currency 5 3 4 2 3 2" xfId="13522" xr:uid="{24F5DC05-6813-4E5F-A7E5-B313B69C593C}"/>
    <cellStyle name="Currency 5 3 4 2 4" xfId="9304" xr:uid="{D18C6239-5318-4CEB-A038-D9D0C53ABA86}"/>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07076A38-1E64-410D-83E2-EDF3D7563198}"/>
    <cellStyle name="Currency 5 3 4 3 2 3" xfId="11862" xr:uid="{1E8091EF-4EDD-40E0-BE6C-429C59AE2FF3}"/>
    <cellStyle name="Currency 5 3 4 3 3" xfId="5485" xr:uid="{00000000-0005-0000-0000-0000130D0000}"/>
    <cellStyle name="Currency 5 3 4 3 3 2" xfId="13935" xr:uid="{22242E3F-49C4-4934-A2A9-774A59A9FC94}"/>
    <cellStyle name="Currency 5 3 4 3 4" xfId="9717" xr:uid="{4A29F719-5019-4942-AAB7-1E2132E12D80}"/>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EBA59AC9-EB80-40F0-8FAA-B53136D7AC14}"/>
    <cellStyle name="Currency 5 3 4 4 2 3" xfId="12275" xr:uid="{FC4A1CAB-8CD4-450D-9768-65043EFABF91}"/>
    <cellStyle name="Currency 5 3 4 4 3" xfId="5898" xr:uid="{00000000-0005-0000-0000-0000170D0000}"/>
    <cellStyle name="Currency 5 3 4 4 3 2" xfId="14348" xr:uid="{1C6D85DA-E5EC-49B5-9D90-3E091FB131C2}"/>
    <cellStyle name="Currency 5 3 4 4 4" xfId="10130" xr:uid="{6A135B76-09E8-44B5-96D6-C406FC136B21}"/>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2CBC1A29-8B1D-4BCA-AFDF-FFA253602144}"/>
    <cellStyle name="Currency 5 3 4 5 2 3" xfId="12688" xr:uid="{69ABF76C-5D72-471E-9FF7-C55720D781C6}"/>
    <cellStyle name="Currency 5 3 4 5 3" xfId="6311" xr:uid="{00000000-0005-0000-0000-00001B0D0000}"/>
    <cellStyle name="Currency 5 3 4 5 3 2" xfId="14761" xr:uid="{F995BF2F-2424-4643-83F5-167E59BE50FB}"/>
    <cellStyle name="Currency 5 3 4 5 4" xfId="10543" xr:uid="{F4A47981-5212-4601-84EB-CD246913A182}"/>
    <cellStyle name="Currency 5 3 4 6" xfId="2440" xr:uid="{00000000-0005-0000-0000-00001C0D0000}"/>
    <cellStyle name="Currency 5 3 4 6 2" xfId="6724" xr:uid="{00000000-0005-0000-0000-00001D0D0000}"/>
    <cellStyle name="Currency 5 3 4 6 2 2" xfId="15174" xr:uid="{6B82B758-CD7C-4675-913D-D4A56B4265B4}"/>
    <cellStyle name="Currency 5 3 4 6 3" xfId="10956" xr:uid="{6A4CEEE6-D9A2-4AC0-B1A6-4F93ABAFBE1D}"/>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A282D1CE-F23D-456F-ADD3-FA3105174300}"/>
    <cellStyle name="Currency 5 3 4 8 3" xfId="11273" xr:uid="{684044E2-031D-436C-8E43-D1790C97B8D8}"/>
    <cellStyle name="Currency 5 3 4 9" xfId="4658" xr:uid="{00000000-0005-0000-0000-0000210D0000}"/>
    <cellStyle name="Currency 5 3 4 9 2" xfId="13108" xr:uid="{95AF233A-A280-4C17-9549-31A15FBE0A61}"/>
    <cellStyle name="Currency 5 3 5" xfId="217" xr:uid="{00000000-0005-0000-0000-0000220D0000}"/>
    <cellStyle name="Currency 5 3 5 10" xfId="8891" xr:uid="{2E3759B4-BC5C-414B-82C9-8F0DE3E22C28}"/>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EB63F9CE-DC4F-4C41-A2DA-66651D3632CA}"/>
    <cellStyle name="Currency 5 3 5 2 2 3" xfId="11450" xr:uid="{05DC1DB6-9954-41C7-9DE2-7E7A6B3B4F96}"/>
    <cellStyle name="Currency 5 3 5 2 3" xfId="5073" xr:uid="{00000000-0005-0000-0000-0000260D0000}"/>
    <cellStyle name="Currency 5 3 5 2 3 2" xfId="13523" xr:uid="{AEE4783D-F62C-4725-9F86-11EDA01653CA}"/>
    <cellStyle name="Currency 5 3 5 2 4" xfId="9305" xr:uid="{1B84ECFC-20A3-429B-885B-A69DD3EBFF69}"/>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B6AFEFFC-99B6-44B4-8A23-5766ADB15997}"/>
    <cellStyle name="Currency 5 3 5 3 2 3" xfId="11863" xr:uid="{5A3FA08F-0397-4706-AEEE-2C86A6B1A522}"/>
    <cellStyle name="Currency 5 3 5 3 3" xfId="5486" xr:uid="{00000000-0005-0000-0000-00002A0D0000}"/>
    <cellStyle name="Currency 5 3 5 3 3 2" xfId="13936" xr:uid="{508A05AC-7779-4C96-8A90-11030BCC9D73}"/>
    <cellStyle name="Currency 5 3 5 3 4" xfId="9718" xr:uid="{E02132EF-F671-444D-8C6B-1E285F994426}"/>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F9D9F6A1-3F5D-4CE0-8DAE-F5E0F420D470}"/>
    <cellStyle name="Currency 5 3 5 4 2 3" xfId="12276" xr:uid="{173A9C35-FC5E-439B-89D3-6E1417368FC2}"/>
    <cellStyle name="Currency 5 3 5 4 3" xfId="5899" xr:uid="{00000000-0005-0000-0000-00002E0D0000}"/>
    <cellStyle name="Currency 5 3 5 4 3 2" xfId="14349" xr:uid="{8C822A8D-DA9C-4469-96FC-DDC9C3DF3CE9}"/>
    <cellStyle name="Currency 5 3 5 4 4" xfId="10131" xr:uid="{5DB9CD53-18E1-4661-A520-C1B5B530BBFD}"/>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94D3BC51-D62A-4CCE-AEB4-C81B1B91BAE9}"/>
    <cellStyle name="Currency 5 3 5 5 2 3" xfId="12689" xr:uid="{777FFE33-99F3-4D60-8270-AD911F9535DB}"/>
    <cellStyle name="Currency 5 3 5 5 3" xfId="6312" xr:uid="{00000000-0005-0000-0000-0000320D0000}"/>
    <cellStyle name="Currency 5 3 5 5 3 2" xfId="14762" xr:uid="{AD3F6F21-C33C-4FFF-8F83-23D7D09EF64F}"/>
    <cellStyle name="Currency 5 3 5 5 4" xfId="10544" xr:uid="{2EB52100-A676-485A-B94C-B578FC24B65C}"/>
    <cellStyle name="Currency 5 3 5 6" xfId="2441" xr:uid="{00000000-0005-0000-0000-0000330D0000}"/>
    <cellStyle name="Currency 5 3 5 6 2" xfId="6725" xr:uid="{00000000-0005-0000-0000-0000340D0000}"/>
    <cellStyle name="Currency 5 3 5 6 2 2" xfId="15175" xr:uid="{F5070CF2-B1B4-466F-8034-D011D675E2A8}"/>
    <cellStyle name="Currency 5 3 5 6 3" xfId="10957" xr:uid="{160260A1-075F-4354-89ED-6EC29C5C3417}"/>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B4696324-102B-44CF-815D-6A23255CD2C4}"/>
    <cellStyle name="Currency 5 3 5 8 3" xfId="11274" xr:uid="{0F2939DF-391D-429E-A126-C9F04F8625F7}"/>
    <cellStyle name="Currency 5 3 5 9" xfId="4659" xr:uid="{00000000-0005-0000-0000-0000380D0000}"/>
    <cellStyle name="Currency 5 3 5 9 2" xfId="13109" xr:uid="{7723E992-54CC-497E-A13C-519C4D2141B1}"/>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1E31AA57-69B4-4303-B7C4-1ADA0E0FB61A}"/>
    <cellStyle name="Currency 5 5 11" xfId="8892" xr:uid="{DE429311-06D0-43A1-887C-4B0CF7C793A6}"/>
    <cellStyle name="Currency 5 5 2" xfId="220" xr:uid="{00000000-0005-0000-0000-00003D0D0000}"/>
    <cellStyle name="Currency 5 5 2 10" xfId="8893" xr:uid="{1903AA73-C029-40F7-963D-B5C556748134}"/>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EF4A860C-EEC4-450D-B823-E663AEC99A0B}"/>
    <cellStyle name="Currency 5 5 2 2 2 3" xfId="11452" xr:uid="{3CD308E8-7792-44C3-940E-0079F6AE8871}"/>
    <cellStyle name="Currency 5 5 2 2 3" xfId="5075" xr:uid="{00000000-0005-0000-0000-0000410D0000}"/>
    <cellStyle name="Currency 5 5 2 2 3 2" xfId="13525" xr:uid="{60A4175A-B09E-49CC-A595-C8DEF5EDCC01}"/>
    <cellStyle name="Currency 5 5 2 2 4" xfId="9307" xr:uid="{930B7C9C-43D3-4338-901F-EA6EA749B428}"/>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4212E8EF-4139-468D-8F2A-7AAE3C3056B6}"/>
    <cellStyle name="Currency 5 5 2 3 2 3" xfId="11865" xr:uid="{83E763B6-A040-408E-8D05-B194F970091C}"/>
    <cellStyle name="Currency 5 5 2 3 3" xfId="5488" xr:uid="{00000000-0005-0000-0000-0000450D0000}"/>
    <cellStyle name="Currency 5 5 2 3 3 2" xfId="13938" xr:uid="{3304DD5B-162D-4F4D-9472-FF0949B1C442}"/>
    <cellStyle name="Currency 5 5 2 3 4" xfId="9720" xr:uid="{67170C52-A40E-49F7-ACD8-6DD09A0887DA}"/>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E74442DD-0BC9-4656-ABD3-AC4774A07EBF}"/>
    <cellStyle name="Currency 5 5 2 4 2 3" xfId="12278" xr:uid="{710B4648-CC5C-45E0-BC33-EE07CEA4028B}"/>
    <cellStyle name="Currency 5 5 2 4 3" xfId="5901" xr:uid="{00000000-0005-0000-0000-0000490D0000}"/>
    <cellStyle name="Currency 5 5 2 4 3 2" xfId="14351" xr:uid="{8CBCDEF8-E77D-4764-A3BF-8901B222DBC0}"/>
    <cellStyle name="Currency 5 5 2 4 4" xfId="10133" xr:uid="{F4999D92-5246-434F-9E79-9B000D3780F2}"/>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C7BDC249-17DD-46F3-9037-A21BE27BF661}"/>
    <cellStyle name="Currency 5 5 2 5 2 3" xfId="12691" xr:uid="{3C327199-66A1-482B-AC48-D2979474D690}"/>
    <cellStyle name="Currency 5 5 2 5 3" xfId="6314" xr:uid="{00000000-0005-0000-0000-00004D0D0000}"/>
    <cellStyle name="Currency 5 5 2 5 3 2" xfId="14764" xr:uid="{CB8F6818-2425-4D3C-A2DA-3E3F942D1C4D}"/>
    <cellStyle name="Currency 5 5 2 5 4" xfId="10546" xr:uid="{7BC2197F-CE75-49DD-8435-469A02A9A51C}"/>
    <cellStyle name="Currency 5 5 2 6" xfId="2443" xr:uid="{00000000-0005-0000-0000-00004E0D0000}"/>
    <cellStyle name="Currency 5 5 2 6 2" xfId="6727" xr:uid="{00000000-0005-0000-0000-00004F0D0000}"/>
    <cellStyle name="Currency 5 5 2 6 2 2" xfId="15177" xr:uid="{81FC99EA-2D64-4B24-BA69-62FF010F6A89}"/>
    <cellStyle name="Currency 5 5 2 6 3" xfId="10959" xr:uid="{14A1E1B3-A085-47BE-BD25-78ECDA6DF00A}"/>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DBD1D859-2F3D-448A-AC1D-3B56AC3006C7}"/>
    <cellStyle name="Currency 5 5 2 8 3" xfId="11276" xr:uid="{55DCD4E6-CF95-4313-9997-EDCCA7B7D856}"/>
    <cellStyle name="Currency 5 5 2 9" xfId="4661" xr:uid="{00000000-0005-0000-0000-0000530D0000}"/>
    <cellStyle name="Currency 5 5 2 9 2" xfId="13111" xr:uid="{1ABE88E2-B373-4FE5-B7AE-AF8473E1FB49}"/>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6CC42B94-0E9B-4336-986F-2A9DAE288290}"/>
    <cellStyle name="Currency 5 5 3 2 3" xfId="11451" xr:uid="{E58F88AD-CFB5-4D88-8A6D-2F29652B7F11}"/>
    <cellStyle name="Currency 5 5 3 3" xfId="5074" xr:uid="{00000000-0005-0000-0000-0000570D0000}"/>
    <cellStyle name="Currency 5 5 3 3 2" xfId="13524" xr:uid="{5B9A1DE8-A5BB-483E-A295-11A59D38B3AF}"/>
    <cellStyle name="Currency 5 5 3 4" xfId="9306" xr:uid="{DFECE2AB-A2B7-4D6B-8F40-D5DCFDFEF9B4}"/>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43955F23-EC04-45B0-B7C5-44AB1E70D371}"/>
    <cellStyle name="Currency 5 5 4 2 3" xfId="11864" xr:uid="{2A1D3A38-7A2A-45AE-B8AD-54233C23DFD0}"/>
    <cellStyle name="Currency 5 5 4 3" xfId="5487" xr:uid="{00000000-0005-0000-0000-00005B0D0000}"/>
    <cellStyle name="Currency 5 5 4 3 2" xfId="13937" xr:uid="{B9CFA068-EA47-4F79-8840-24E305C1C0D2}"/>
    <cellStyle name="Currency 5 5 4 4" xfId="9719" xr:uid="{F6DB043B-0CCE-497A-A50E-D7B95A49CF6D}"/>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F0A58349-39E4-4FB1-88AF-9E0113C8BAF9}"/>
    <cellStyle name="Currency 5 5 5 2 3" xfId="12277" xr:uid="{5D535D8A-60E2-4490-9896-9A4C1BC4A02F}"/>
    <cellStyle name="Currency 5 5 5 3" xfId="5900" xr:uid="{00000000-0005-0000-0000-00005F0D0000}"/>
    <cellStyle name="Currency 5 5 5 3 2" xfId="14350" xr:uid="{79BB332B-9A73-4178-A6A8-25136B8334CD}"/>
    <cellStyle name="Currency 5 5 5 4" xfId="10132" xr:uid="{C9DE87FA-D6B4-4E53-A05E-94B5647BFBEF}"/>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23F62B69-ED63-4CF7-882E-616642DA1AE9}"/>
    <cellStyle name="Currency 5 5 6 2 3" xfId="12690" xr:uid="{6805BD26-342A-4047-A7F2-B2CF64DBD934}"/>
    <cellStyle name="Currency 5 5 6 3" xfId="6313" xr:uid="{00000000-0005-0000-0000-0000630D0000}"/>
    <cellStyle name="Currency 5 5 6 3 2" xfId="14763" xr:uid="{F278B5DB-7881-482E-B4B6-4A6B9A3DD364}"/>
    <cellStyle name="Currency 5 5 6 4" xfId="10545" xr:uid="{5DE45E4A-FD41-4DE3-936E-03A70E0D671C}"/>
    <cellStyle name="Currency 5 5 7" xfId="2442" xr:uid="{00000000-0005-0000-0000-0000640D0000}"/>
    <cellStyle name="Currency 5 5 7 2" xfId="6726" xr:uid="{00000000-0005-0000-0000-0000650D0000}"/>
    <cellStyle name="Currency 5 5 7 2 2" xfId="15176" xr:uid="{ADAF578D-447A-42C4-90D5-DDD43CEA69AA}"/>
    <cellStyle name="Currency 5 5 7 3" xfId="10958" xr:uid="{BE866852-FB81-45E9-915B-3EA149810CF8}"/>
    <cellStyle name="Currency 5 5 8" xfId="2739" xr:uid="{00000000-0005-0000-0000-0000660D0000}"/>
    <cellStyle name="Currency 5 5 9" xfId="2820" xr:uid="{00000000-0005-0000-0000-0000670D0000}"/>
    <cellStyle name="Currency 5 5 9 2" xfId="7043" xr:uid="{00000000-0005-0000-0000-0000680D0000}"/>
    <cellStyle name="Currency 5 5 9 2 2" xfId="15493" xr:uid="{7F00BD9A-C3BF-4C38-8BF2-002634E8B28F}"/>
    <cellStyle name="Currency 5 5 9 3" xfId="11275" xr:uid="{BFDA5FC8-E44D-44A1-9D14-DCF4A6398BB0}"/>
    <cellStyle name="Currency 5 6" xfId="221" xr:uid="{00000000-0005-0000-0000-0000690D0000}"/>
    <cellStyle name="Currency 5 6 10" xfId="8894" xr:uid="{F1F170BB-55F4-4BEE-AD2C-F4C06E6E65B8}"/>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56FE1D75-6BAC-4AAE-9BB7-7EDBE376194B}"/>
    <cellStyle name="Currency 5 6 2 2 3" xfId="11453" xr:uid="{49934AFC-C33B-4424-8D0B-A6A63B176576}"/>
    <cellStyle name="Currency 5 6 2 3" xfId="5076" xr:uid="{00000000-0005-0000-0000-00006D0D0000}"/>
    <cellStyle name="Currency 5 6 2 3 2" xfId="13526" xr:uid="{3517825E-679D-4DA4-AA33-1B6593A39D31}"/>
    <cellStyle name="Currency 5 6 2 4" xfId="9308" xr:uid="{950DA9A9-6C65-48AF-A86A-94C7BDBABB7E}"/>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4369B989-B655-4D1E-8BB7-11096FF3E4D2}"/>
    <cellStyle name="Currency 5 6 3 2 3" xfId="11866" xr:uid="{489E7BDC-9710-45B3-8795-80E1ED533311}"/>
    <cellStyle name="Currency 5 6 3 3" xfId="5489" xr:uid="{00000000-0005-0000-0000-0000710D0000}"/>
    <cellStyle name="Currency 5 6 3 3 2" xfId="13939" xr:uid="{65D10532-0164-4744-914A-810F19F95AD5}"/>
    <cellStyle name="Currency 5 6 3 4" xfId="9721" xr:uid="{7424E8B3-6CDC-459E-925A-1AB3E32FBF81}"/>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7F965B35-2D77-48EB-8D49-98D62D17D117}"/>
    <cellStyle name="Currency 5 6 4 2 3" xfId="12279" xr:uid="{7CDBF4B2-AFC5-4D2B-A1FF-CF25FCF77330}"/>
    <cellStyle name="Currency 5 6 4 3" xfId="5902" xr:uid="{00000000-0005-0000-0000-0000750D0000}"/>
    <cellStyle name="Currency 5 6 4 3 2" xfId="14352" xr:uid="{2E3B70E8-6218-40E0-A706-AFDD2F88EB7B}"/>
    <cellStyle name="Currency 5 6 4 4" xfId="10134" xr:uid="{83FA6B0D-E2D6-48ED-86FC-B03A232B3F70}"/>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79A2E50B-859A-42BF-9EB5-289923608696}"/>
    <cellStyle name="Currency 5 6 5 2 3" xfId="12692" xr:uid="{5175F9E2-26F0-4B0A-BA6C-677801B5C834}"/>
    <cellStyle name="Currency 5 6 5 3" xfId="6315" xr:uid="{00000000-0005-0000-0000-0000790D0000}"/>
    <cellStyle name="Currency 5 6 5 3 2" xfId="14765" xr:uid="{B06E01EC-1440-4663-8A84-62842B39515B}"/>
    <cellStyle name="Currency 5 6 5 4" xfId="10547" xr:uid="{3F22865C-B15F-4E15-AB5F-58EE7EE0C113}"/>
    <cellStyle name="Currency 5 6 6" xfId="2444" xr:uid="{00000000-0005-0000-0000-00007A0D0000}"/>
    <cellStyle name="Currency 5 6 6 2" xfId="6728" xr:uid="{00000000-0005-0000-0000-00007B0D0000}"/>
    <cellStyle name="Currency 5 6 6 2 2" xfId="15178" xr:uid="{0EC5B7C5-AE85-4908-9D16-B949ECEE803D}"/>
    <cellStyle name="Currency 5 6 6 3" xfId="10960" xr:uid="{42B310FF-5C27-4B3B-B4CC-499E4FF0EA4F}"/>
    <cellStyle name="Currency 5 6 7" xfId="2741" xr:uid="{00000000-0005-0000-0000-00007C0D0000}"/>
    <cellStyle name="Currency 5 6 8" xfId="2822" xr:uid="{00000000-0005-0000-0000-00007D0D0000}"/>
    <cellStyle name="Currency 5 6 8 2" xfId="7045" xr:uid="{00000000-0005-0000-0000-00007E0D0000}"/>
    <cellStyle name="Currency 5 6 8 2 2" xfId="15495" xr:uid="{BE0E45D7-24F5-4C06-9D2C-1CD06FDB425B}"/>
    <cellStyle name="Currency 5 6 8 3" xfId="11277" xr:uid="{5D235466-B3C1-4394-AB69-57BD0BFC1CBA}"/>
    <cellStyle name="Currency 5 6 9" xfId="4662" xr:uid="{00000000-0005-0000-0000-00007F0D0000}"/>
    <cellStyle name="Currency 5 6 9 2" xfId="13112" xr:uid="{C6A7DAB6-0BB6-44C5-B0C3-644CABDED4FD}"/>
    <cellStyle name="Currency 5 7" xfId="222" xr:uid="{00000000-0005-0000-0000-0000800D0000}"/>
    <cellStyle name="Currency 5 7 10" xfId="8895" xr:uid="{D053510B-1220-40B0-9C84-ECEC451F9737}"/>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C3D8969A-3A32-45B3-94C2-04D550D96576}"/>
    <cellStyle name="Currency 5 7 2 2 3" xfId="11454" xr:uid="{A657EB63-6DB7-43BE-9A87-73164EDAD299}"/>
    <cellStyle name="Currency 5 7 2 3" xfId="5077" xr:uid="{00000000-0005-0000-0000-0000840D0000}"/>
    <cellStyle name="Currency 5 7 2 3 2" xfId="13527" xr:uid="{094F7CA8-9B8D-4C4D-94E5-75975CB4B61B}"/>
    <cellStyle name="Currency 5 7 2 4" xfId="9309" xr:uid="{C458AC3D-88BB-4C54-96B1-9264CE5F6655}"/>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F1A7AC87-C717-45E0-B0DF-D9CB23C081B5}"/>
    <cellStyle name="Currency 5 7 3 2 3" xfId="11867" xr:uid="{796DC9B2-0007-4AB3-A8AF-588226556B7B}"/>
    <cellStyle name="Currency 5 7 3 3" xfId="5490" xr:uid="{00000000-0005-0000-0000-0000880D0000}"/>
    <cellStyle name="Currency 5 7 3 3 2" xfId="13940" xr:uid="{C16EB3ED-B7F4-40AB-B47A-88AF33F363CC}"/>
    <cellStyle name="Currency 5 7 3 4" xfId="9722" xr:uid="{77AB91C2-D77E-4DDE-8606-DF4C22614B27}"/>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931A3E4F-9489-414B-9B21-D109F5460F64}"/>
    <cellStyle name="Currency 5 7 4 2 3" xfId="12280" xr:uid="{78E21CC4-E47C-4F9F-A3A2-75B5C84F520C}"/>
    <cellStyle name="Currency 5 7 4 3" xfId="5903" xr:uid="{00000000-0005-0000-0000-00008C0D0000}"/>
    <cellStyle name="Currency 5 7 4 3 2" xfId="14353" xr:uid="{5E189B0C-525B-4E3B-9AC4-12F19FDBCE02}"/>
    <cellStyle name="Currency 5 7 4 4" xfId="10135" xr:uid="{22E71E2F-344D-48D2-A6E5-5B0C2F499E4B}"/>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EB00CB36-7670-42B1-9CE1-C41C904AA091}"/>
    <cellStyle name="Currency 5 7 5 2 3" xfId="12693" xr:uid="{22CD0F90-73A6-45D1-8666-FB44876ECC0F}"/>
    <cellStyle name="Currency 5 7 5 3" xfId="6316" xr:uid="{00000000-0005-0000-0000-0000900D0000}"/>
    <cellStyle name="Currency 5 7 5 3 2" xfId="14766" xr:uid="{120DBEED-8041-421F-8D28-0E704D4CB022}"/>
    <cellStyle name="Currency 5 7 5 4" xfId="10548" xr:uid="{E444415A-FF6D-4871-B944-269F2F4C89D7}"/>
    <cellStyle name="Currency 5 7 6" xfId="2445" xr:uid="{00000000-0005-0000-0000-0000910D0000}"/>
    <cellStyle name="Currency 5 7 6 2" xfId="6729" xr:uid="{00000000-0005-0000-0000-0000920D0000}"/>
    <cellStyle name="Currency 5 7 6 2 2" xfId="15179" xr:uid="{6EEAA9A1-4BBD-4768-94AE-3FFAD2E2C4C5}"/>
    <cellStyle name="Currency 5 7 6 3" xfId="10961" xr:uid="{8DB0A5A3-C526-4D26-8E59-B1AFE1A6DF24}"/>
    <cellStyle name="Currency 5 7 7" xfId="2742" xr:uid="{00000000-0005-0000-0000-0000930D0000}"/>
    <cellStyle name="Currency 5 7 8" xfId="2823" xr:uid="{00000000-0005-0000-0000-0000940D0000}"/>
    <cellStyle name="Currency 5 7 8 2" xfId="7046" xr:uid="{00000000-0005-0000-0000-0000950D0000}"/>
    <cellStyle name="Currency 5 7 8 2 2" xfId="15496" xr:uid="{EC811909-B735-49CB-BD0B-1CF8CF0D2DE4}"/>
    <cellStyle name="Currency 5 7 8 3" xfId="11278" xr:uid="{26670421-7A54-4C52-944D-B84F2D3D63D2}"/>
    <cellStyle name="Currency 5 7 9" xfId="4663" xr:uid="{00000000-0005-0000-0000-0000960D0000}"/>
    <cellStyle name="Currency 5 7 9 2" xfId="13113" xr:uid="{A680C9A2-688A-4541-85ED-B71F8FDA4EA1}"/>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045A23C8-4A4E-49C2-8891-77F616D68C5D}"/>
    <cellStyle name="Normal 12 10 3" xfId="10962" xr:uid="{AB26AF61-7EE8-48E4-91DB-F8BDCC1BA4F4}"/>
    <cellStyle name="Normal 12 11" xfId="4664" xr:uid="{00000000-0005-0000-0000-0000CC0D0000}"/>
    <cellStyle name="Normal 12 11 2" xfId="13114" xr:uid="{2E4A09E3-8C64-4A44-9524-99480591D0BB}"/>
    <cellStyle name="Normal 12 12" xfId="8896" xr:uid="{F4C64856-261C-41F0-9DE1-EB240D49B4D7}"/>
    <cellStyle name="Normal 12 2" xfId="260" xr:uid="{00000000-0005-0000-0000-0000CD0D0000}"/>
    <cellStyle name="Normal 12 2 10" xfId="8897" xr:uid="{3780C8A5-C90C-4412-9511-E1A96CCB37E1}"/>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E268403F-4F83-4144-BB67-A580CA86B801}"/>
    <cellStyle name="Normal 12 2 2 2 2 2 3" xfId="11458" xr:uid="{4554F305-FE09-4E00-ABBA-16758A16B1B0}"/>
    <cellStyle name="Normal 12 2 2 2 2 3" xfId="5081" xr:uid="{00000000-0005-0000-0000-0000D30D0000}"/>
    <cellStyle name="Normal 12 2 2 2 2 3 2" xfId="13531" xr:uid="{FBC75632-0B74-435B-BF1D-EF601D04FBC0}"/>
    <cellStyle name="Normal 12 2 2 2 2 4" xfId="9313" xr:uid="{C5134517-044F-4146-80C8-FA303ADA5CA5}"/>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9F97249A-5F55-4528-AA67-CB53F7B7F946}"/>
    <cellStyle name="Normal 12 2 2 2 3 2 3" xfId="11871" xr:uid="{11399EDE-3C6F-42F2-9253-53EB39EE8DCD}"/>
    <cellStyle name="Normal 12 2 2 2 3 3" xfId="5494" xr:uid="{00000000-0005-0000-0000-0000D70D0000}"/>
    <cellStyle name="Normal 12 2 2 2 3 3 2" xfId="13944" xr:uid="{44635E6E-40EC-49F6-AE0B-0F9D85CE31FA}"/>
    <cellStyle name="Normal 12 2 2 2 3 4" xfId="9726" xr:uid="{BCA5B927-A1C7-4C9B-A075-B30D167C90D0}"/>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BD0F3495-2660-4930-8A3B-9246CF7EB4AE}"/>
    <cellStyle name="Normal 12 2 2 2 4 2 3" xfId="12284" xr:uid="{AF12B321-0652-433A-9F32-613974049199}"/>
    <cellStyle name="Normal 12 2 2 2 4 3" xfId="5907" xr:uid="{00000000-0005-0000-0000-0000DB0D0000}"/>
    <cellStyle name="Normal 12 2 2 2 4 3 2" xfId="14357" xr:uid="{E07995EB-60B9-433A-B621-0543480B5E39}"/>
    <cellStyle name="Normal 12 2 2 2 4 4" xfId="10139" xr:uid="{B88B56EB-6A76-442D-B944-1CBF9ADC215E}"/>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BFD9C392-6221-4B82-9E18-564A4A37D85B}"/>
    <cellStyle name="Normal 12 2 2 2 5 2 3" xfId="12697" xr:uid="{6B0D0817-9124-49E3-959F-70552B84D22C}"/>
    <cellStyle name="Normal 12 2 2 2 5 3" xfId="6320" xr:uid="{00000000-0005-0000-0000-0000DF0D0000}"/>
    <cellStyle name="Normal 12 2 2 2 5 3 2" xfId="14770" xr:uid="{C9433C20-205B-45E9-B1CE-BD3DDB8F4CB2}"/>
    <cellStyle name="Normal 12 2 2 2 5 4" xfId="10552" xr:uid="{F06ABBF2-C308-4977-9776-2D45D6380BFB}"/>
    <cellStyle name="Normal 12 2 2 2 6" xfId="2450" xr:uid="{00000000-0005-0000-0000-0000E00D0000}"/>
    <cellStyle name="Normal 12 2 2 2 6 2" xfId="6733" xr:uid="{00000000-0005-0000-0000-0000E10D0000}"/>
    <cellStyle name="Normal 12 2 2 2 6 2 2" xfId="15183" xr:uid="{3C3E34F3-4417-4387-BA99-A59D91ADAFF0}"/>
    <cellStyle name="Normal 12 2 2 2 6 3" xfId="10965" xr:uid="{3EF81AFA-4140-43A7-89F8-525895F72A81}"/>
    <cellStyle name="Normal 12 2 2 2 7" xfId="4667" xr:uid="{00000000-0005-0000-0000-0000E20D0000}"/>
    <cellStyle name="Normal 12 2 2 2 7 2" xfId="13117" xr:uid="{9CA180E0-67B4-4F47-96C7-7EAE7A5E6618}"/>
    <cellStyle name="Normal 12 2 2 2 8" xfId="8899" xr:uid="{27617295-76C0-4B56-B9F1-5012863912F8}"/>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5A894419-F0E5-49B1-9C06-8C136E3FDA17}"/>
    <cellStyle name="Normal 12 2 2 3 2 3" xfId="11457" xr:uid="{F5BCF334-E928-4BAB-8C4A-E4B06941E770}"/>
    <cellStyle name="Normal 12 2 2 3 3" xfId="5080" xr:uid="{00000000-0005-0000-0000-0000E60D0000}"/>
    <cellStyle name="Normal 12 2 2 3 3 2" xfId="13530" xr:uid="{4800DC71-4AB3-46D7-BFA7-FE2EA4E63DAA}"/>
    <cellStyle name="Normal 12 2 2 3 4" xfId="9312" xr:uid="{E1D579E9-0FC3-4FED-9EBA-811129155287}"/>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DB9D3A4F-A50E-47C8-A4D2-F761CC7DC44A}"/>
    <cellStyle name="Normal 12 2 2 4 2 3" xfId="11870" xr:uid="{F7E6CB7A-717C-4D4A-9095-B77455CF1FE5}"/>
    <cellStyle name="Normal 12 2 2 4 3" xfId="5493" xr:uid="{00000000-0005-0000-0000-0000EA0D0000}"/>
    <cellStyle name="Normal 12 2 2 4 3 2" xfId="13943" xr:uid="{1922A8F7-6EC9-44D9-BD81-10ACE4E7F0EE}"/>
    <cellStyle name="Normal 12 2 2 4 4" xfId="9725" xr:uid="{9A0FA17A-ECB7-4AC3-9229-3C4A3DD63D60}"/>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349CC3B3-DAE8-428D-9FAB-D26E687E48FF}"/>
    <cellStyle name="Normal 12 2 2 5 2 3" xfId="12283" xr:uid="{776A6756-AF63-49E8-B02A-6830F76841DA}"/>
    <cellStyle name="Normal 12 2 2 5 3" xfId="5906" xr:uid="{00000000-0005-0000-0000-0000EE0D0000}"/>
    <cellStyle name="Normal 12 2 2 5 3 2" xfId="14356" xr:uid="{ADBD64CB-90CD-4A67-A4E7-C359C0CC0A7E}"/>
    <cellStyle name="Normal 12 2 2 5 4" xfId="10138" xr:uid="{150932C0-8057-4834-A53C-E3D63BB13C74}"/>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A527A2CB-4556-4CD0-9784-3A256568BC30}"/>
    <cellStyle name="Normal 12 2 2 6 2 3" xfId="12696" xr:uid="{753E3A22-AC30-44C6-BC89-4AC780663A16}"/>
    <cellStyle name="Normal 12 2 2 6 3" xfId="6319" xr:uid="{00000000-0005-0000-0000-0000F20D0000}"/>
    <cellStyle name="Normal 12 2 2 6 3 2" xfId="14769" xr:uid="{E5E3F4FC-4A49-48D7-B202-F2374FC1970A}"/>
    <cellStyle name="Normal 12 2 2 6 4" xfId="10551" xr:uid="{EAA16881-6F7F-4F77-AD70-2264BEB0E391}"/>
    <cellStyle name="Normal 12 2 2 7" xfId="2449" xr:uid="{00000000-0005-0000-0000-0000F30D0000}"/>
    <cellStyle name="Normal 12 2 2 7 2" xfId="6732" xr:uid="{00000000-0005-0000-0000-0000F40D0000}"/>
    <cellStyle name="Normal 12 2 2 7 2 2" xfId="15182" xr:uid="{52837530-832E-4483-8A8E-E8D9DC7C4247}"/>
    <cellStyle name="Normal 12 2 2 7 3" xfId="10964" xr:uid="{5A5DA7D2-95D5-439B-B11C-C861704A64CD}"/>
    <cellStyle name="Normal 12 2 2 8" xfId="4666" xr:uid="{00000000-0005-0000-0000-0000F50D0000}"/>
    <cellStyle name="Normal 12 2 2 8 2" xfId="13116" xr:uid="{8D2F354E-0BCB-4ED7-8AC0-821CDD377278}"/>
    <cellStyle name="Normal 12 2 2 9" xfId="8898" xr:uid="{B7708332-348B-4A04-BAA8-33B19D7A3038}"/>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36A83021-FCB4-4F62-A0B6-23C61DC6EE1F}"/>
    <cellStyle name="Normal 12 2 3 2 2 3" xfId="11459" xr:uid="{5F49DB7F-D696-4AE5-B3F1-232FE10B876C}"/>
    <cellStyle name="Normal 12 2 3 2 3" xfId="5082" xr:uid="{00000000-0005-0000-0000-0000FA0D0000}"/>
    <cellStyle name="Normal 12 2 3 2 3 2" xfId="13532" xr:uid="{9258D17F-0F64-47EE-AEA8-5B0858102298}"/>
    <cellStyle name="Normal 12 2 3 2 4" xfId="9314" xr:uid="{291ACA7D-9AEC-457A-A11C-7889C7546EF5}"/>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7291DCB7-A910-4D38-A7BF-2588AF5E52C6}"/>
    <cellStyle name="Normal 12 2 3 3 2 3" xfId="11872" xr:uid="{C1CBEAF3-8936-4D43-B7C5-FA47CB7CBC38}"/>
    <cellStyle name="Normal 12 2 3 3 3" xfId="5495" xr:uid="{00000000-0005-0000-0000-0000FE0D0000}"/>
    <cellStyle name="Normal 12 2 3 3 3 2" xfId="13945" xr:uid="{69B12930-C720-4A6E-BC50-61D662B0FF8C}"/>
    <cellStyle name="Normal 12 2 3 3 4" xfId="9727" xr:uid="{41FC6020-BC67-4301-AAD5-A65569C15CD5}"/>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E863819A-C1D1-4AA3-853F-78478AA97928}"/>
    <cellStyle name="Normal 12 2 3 4 2 3" xfId="12285" xr:uid="{033AB1F3-FBDB-4A95-B5DB-2C4EC0E4641D}"/>
    <cellStyle name="Normal 12 2 3 4 3" xfId="5908" xr:uid="{00000000-0005-0000-0000-0000020E0000}"/>
    <cellStyle name="Normal 12 2 3 4 3 2" xfId="14358" xr:uid="{49A41AAF-19AC-4293-94C7-D144598476C7}"/>
    <cellStyle name="Normal 12 2 3 4 4" xfId="10140" xr:uid="{4E77A75B-D92E-49B1-AB03-B251C1FDF014}"/>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27D21FFF-373E-4F4D-BDDD-A33FC8D10E4E}"/>
    <cellStyle name="Normal 12 2 3 5 2 3" xfId="12698" xr:uid="{BE32F4FD-1706-4CD9-A54E-2F3B47AD53AE}"/>
    <cellStyle name="Normal 12 2 3 5 3" xfId="6321" xr:uid="{00000000-0005-0000-0000-0000060E0000}"/>
    <cellStyle name="Normal 12 2 3 5 3 2" xfId="14771" xr:uid="{A922CFDD-BEBB-499D-AB68-136017925B00}"/>
    <cellStyle name="Normal 12 2 3 5 4" xfId="10553" xr:uid="{6329BEE7-83AA-494F-AB69-1C5463DC4A60}"/>
    <cellStyle name="Normal 12 2 3 6" xfId="2451" xr:uid="{00000000-0005-0000-0000-0000070E0000}"/>
    <cellStyle name="Normal 12 2 3 6 2" xfId="6734" xr:uid="{00000000-0005-0000-0000-0000080E0000}"/>
    <cellStyle name="Normal 12 2 3 6 2 2" xfId="15184" xr:uid="{97B76142-7CA9-4CC5-B2BA-FFCC6BF236E5}"/>
    <cellStyle name="Normal 12 2 3 6 3" xfId="10966" xr:uid="{39B70A2F-7BDD-43B4-BDAB-0015EFDB55DE}"/>
    <cellStyle name="Normal 12 2 3 7" xfId="4668" xr:uid="{00000000-0005-0000-0000-0000090E0000}"/>
    <cellStyle name="Normal 12 2 3 7 2" xfId="13118" xr:uid="{240DEF52-B2EA-46E6-968A-4A23EEB56F62}"/>
    <cellStyle name="Normal 12 2 3 8" xfId="8900" xr:uid="{8B0FA207-2412-4335-A7BE-73F2FD415A78}"/>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5AB80736-1F02-4EEC-A3A2-38466F262FAD}"/>
    <cellStyle name="Normal 12 2 4 2 3" xfId="11456" xr:uid="{81870C98-3C5D-444D-9E77-A18D673ED528}"/>
    <cellStyle name="Normal 12 2 4 3" xfId="5079" xr:uid="{00000000-0005-0000-0000-00000D0E0000}"/>
    <cellStyle name="Normal 12 2 4 3 2" xfId="13529" xr:uid="{67E71A87-9395-4141-921C-6B3055559A78}"/>
    <cellStyle name="Normal 12 2 4 4" xfId="9311" xr:uid="{AF0F1AEC-A2BF-487C-BE6F-7C879FB898C5}"/>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54A6707C-C001-4F16-9538-F77CABD3E2A0}"/>
    <cellStyle name="Normal 12 2 5 2 3" xfId="11869" xr:uid="{30092492-AAE6-4235-820A-D58ED859360A}"/>
    <cellStyle name="Normal 12 2 5 3" xfId="5492" xr:uid="{00000000-0005-0000-0000-0000110E0000}"/>
    <cellStyle name="Normal 12 2 5 3 2" xfId="13942" xr:uid="{4347F821-53B0-429F-BD2A-59EF80B2BDFA}"/>
    <cellStyle name="Normal 12 2 5 4" xfId="9724" xr:uid="{09E4F146-AFB8-4FB0-87D9-3699EAB4D144}"/>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F0F5CD90-1A90-480C-B53B-D1A9C23D4BCB}"/>
    <cellStyle name="Normal 12 2 6 2 3" xfId="12282" xr:uid="{1FC6B49E-3740-4CAF-B873-04AF9E813CE8}"/>
    <cellStyle name="Normal 12 2 6 3" xfId="5905" xr:uid="{00000000-0005-0000-0000-0000150E0000}"/>
    <cellStyle name="Normal 12 2 6 3 2" xfId="14355" xr:uid="{B847BAA4-8499-4E83-A713-90B500DE2081}"/>
    <cellStyle name="Normal 12 2 6 4" xfId="10137" xr:uid="{55641154-47EB-4628-8CF9-1A2B22B5DC7C}"/>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D2F9190D-3365-4805-B25C-B129C10D57D5}"/>
    <cellStyle name="Normal 12 2 7 2 3" xfId="12695" xr:uid="{F48CC817-266F-4406-B01E-2A90DDD19A74}"/>
    <cellStyle name="Normal 12 2 7 3" xfId="6318" xr:uid="{00000000-0005-0000-0000-0000190E0000}"/>
    <cellStyle name="Normal 12 2 7 3 2" xfId="14768" xr:uid="{18B145BB-CEB1-4A84-8F03-3C20E313EAF7}"/>
    <cellStyle name="Normal 12 2 7 4" xfId="10550" xr:uid="{F7208EEA-4986-45A7-B5A4-82AFDC5D06E3}"/>
    <cellStyle name="Normal 12 2 8" xfId="2448" xr:uid="{00000000-0005-0000-0000-00001A0E0000}"/>
    <cellStyle name="Normal 12 2 8 2" xfId="6731" xr:uid="{00000000-0005-0000-0000-00001B0E0000}"/>
    <cellStyle name="Normal 12 2 8 2 2" xfId="15181" xr:uid="{BFAB18C0-99DB-45E6-BE7B-4D65A425E50F}"/>
    <cellStyle name="Normal 12 2 8 3" xfId="10963" xr:uid="{6234C48A-719F-4F62-9A40-CABC4555A681}"/>
    <cellStyle name="Normal 12 2 9" xfId="4665" xr:uid="{00000000-0005-0000-0000-00001C0E0000}"/>
    <cellStyle name="Normal 12 2 9 2" xfId="13115" xr:uid="{77A431CF-87B8-4EC4-82FE-6AC7E502C1C2}"/>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EA913922-25BE-42A7-8186-467CE183DAFF}"/>
    <cellStyle name="Normal 12 3 2 2 2 3" xfId="11461" xr:uid="{8FBD9408-6D35-4F50-A2D8-14D4D2B31676}"/>
    <cellStyle name="Normal 12 3 2 2 3" xfId="5084" xr:uid="{00000000-0005-0000-0000-0000220E0000}"/>
    <cellStyle name="Normal 12 3 2 2 3 2" xfId="13534" xr:uid="{CCC10379-2423-49EB-AD4F-1E4FD65BFF40}"/>
    <cellStyle name="Normal 12 3 2 2 4" xfId="9316" xr:uid="{CB8E9B49-6D31-45D2-8BEA-4F08698B0944}"/>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12D0DFE8-95CF-454E-8C99-EA7247D31DE7}"/>
    <cellStyle name="Normal 12 3 2 3 2 3" xfId="11874" xr:uid="{185B0F79-AC84-4F96-82C0-CECF238140D1}"/>
    <cellStyle name="Normal 12 3 2 3 3" xfId="5497" xr:uid="{00000000-0005-0000-0000-0000260E0000}"/>
    <cellStyle name="Normal 12 3 2 3 3 2" xfId="13947" xr:uid="{1BC783D7-FE21-465B-8F8D-D3233763CBBD}"/>
    <cellStyle name="Normal 12 3 2 3 4" xfId="9729" xr:uid="{631199E8-F00D-42F2-B132-F949BAFAA767}"/>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B9F97717-FDB0-4EFE-8510-536BDB7EFFC7}"/>
    <cellStyle name="Normal 12 3 2 4 2 3" xfId="12287" xr:uid="{4B5E596E-30E7-47A9-BE3E-3723F1B2CFD8}"/>
    <cellStyle name="Normal 12 3 2 4 3" xfId="5910" xr:uid="{00000000-0005-0000-0000-00002A0E0000}"/>
    <cellStyle name="Normal 12 3 2 4 3 2" xfId="14360" xr:uid="{38C204E9-D4EE-4DBC-AC26-52EBA4FD2B14}"/>
    <cellStyle name="Normal 12 3 2 4 4" xfId="10142" xr:uid="{167DFC99-F062-410E-B23E-ABEF84C67DE4}"/>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CF21BFD0-844F-4AAE-96C2-9152FEA3C98F}"/>
    <cellStyle name="Normal 12 3 2 5 2 3" xfId="12700" xr:uid="{3B7C911C-A65B-423E-9989-483AB168407D}"/>
    <cellStyle name="Normal 12 3 2 5 3" xfId="6323" xr:uid="{00000000-0005-0000-0000-00002E0E0000}"/>
    <cellStyle name="Normal 12 3 2 5 3 2" xfId="14773" xr:uid="{47D2D201-E0E0-4FFA-8341-A6CAE46D77BE}"/>
    <cellStyle name="Normal 12 3 2 5 4" xfId="10555" xr:uid="{8DA425D0-943E-48B4-AB3B-68837C1D429C}"/>
    <cellStyle name="Normal 12 3 2 6" xfId="2453" xr:uid="{00000000-0005-0000-0000-00002F0E0000}"/>
    <cellStyle name="Normal 12 3 2 6 2" xfId="6736" xr:uid="{00000000-0005-0000-0000-0000300E0000}"/>
    <cellStyle name="Normal 12 3 2 6 2 2" xfId="15186" xr:uid="{7A064DB4-976F-4217-90D2-4A0135254776}"/>
    <cellStyle name="Normal 12 3 2 6 3" xfId="10968" xr:uid="{310924C1-40B4-4559-B132-0880E63F461B}"/>
    <cellStyle name="Normal 12 3 2 7" xfId="4670" xr:uid="{00000000-0005-0000-0000-0000310E0000}"/>
    <cellStyle name="Normal 12 3 2 7 2" xfId="13120" xr:uid="{4472969D-F1DF-475D-B910-B9548C30A852}"/>
    <cellStyle name="Normal 12 3 2 8" xfId="8902" xr:uid="{4A08BCA2-41A5-4AB8-9121-CC2DD7C4B11D}"/>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83C22CA6-2326-4009-9FB3-9C39A36E06E0}"/>
    <cellStyle name="Normal 12 3 3 2 3" xfId="11460" xr:uid="{F9F94D52-55AE-494A-A54B-FEDA83F7FC96}"/>
    <cellStyle name="Normal 12 3 3 3" xfId="5083" xr:uid="{00000000-0005-0000-0000-0000350E0000}"/>
    <cellStyle name="Normal 12 3 3 3 2" xfId="13533" xr:uid="{2E6DBF5A-3021-4260-82D5-7C1BB2596A05}"/>
    <cellStyle name="Normal 12 3 3 4" xfId="9315" xr:uid="{165E58BD-512F-4C0A-A7CB-2005881D87C4}"/>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E7107AE4-FBA8-4A88-A92E-0BC08E0183F1}"/>
    <cellStyle name="Normal 12 3 4 2 3" xfId="11873" xr:uid="{206261C9-569C-4B0B-9F10-43F3126952B1}"/>
    <cellStyle name="Normal 12 3 4 3" xfId="5496" xr:uid="{00000000-0005-0000-0000-0000390E0000}"/>
    <cellStyle name="Normal 12 3 4 3 2" xfId="13946" xr:uid="{19908FEF-DC11-4530-A386-91E88604D76F}"/>
    <cellStyle name="Normal 12 3 4 4" xfId="9728" xr:uid="{3ED274CA-332D-410E-97E4-76742906A4ED}"/>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AB4ECDE1-4F6A-48BC-B17B-9DEC552B09CD}"/>
    <cellStyle name="Normal 12 3 5 2 3" xfId="12286" xr:uid="{A793F886-B1F8-40F0-BEC5-459885F1C2A1}"/>
    <cellStyle name="Normal 12 3 5 3" xfId="5909" xr:uid="{00000000-0005-0000-0000-00003D0E0000}"/>
    <cellStyle name="Normal 12 3 5 3 2" xfId="14359" xr:uid="{2544E6B6-0041-4552-8237-6648AD348406}"/>
    <cellStyle name="Normal 12 3 5 4" xfId="10141" xr:uid="{C7A68CC0-3095-48CE-B5F3-E91328483863}"/>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36270D9C-6439-43CE-8C0C-66EB18771B8C}"/>
    <cellStyle name="Normal 12 3 6 2 3" xfId="12699" xr:uid="{9DF3CAF1-23DA-4CBC-B319-0204C16B0D83}"/>
    <cellStyle name="Normal 12 3 6 3" xfId="6322" xr:uid="{00000000-0005-0000-0000-0000410E0000}"/>
    <cellStyle name="Normal 12 3 6 3 2" xfId="14772" xr:uid="{7D9EAC95-7B30-45D1-8FC2-4C365BCDAA32}"/>
    <cellStyle name="Normal 12 3 6 4" xfId="10554" xr:uid="{290DAA7F-D2C7-4D42-BA16-1E9B283C5407}"/>
    <cellStyle name="Normal 12 3 7" xfId="2452" xr:uid="{00000000-0005-0000-0000-0000420E0000}"/>
    <cellStyle name="Normal 12 3 7 2" xfId="6735" xr:uid="{00000000-0005-0000-0000-0000430E0000}"/>
    <cellStyle name="Normal 12 3 7 2 2" xfId="15185" xr:uid="{3F47D31C-4800-4CB1-9580-6160D0315A0C}"/>
    <cellStyle name="Normal 12 3 7 3" xfId="10967" xr:uid="{E0C4AFF6-D8E1-4C37-B931-47D1A9987008}"/>
    <cellStyle name="Normal 12 3 8" xfId="4669" xr:uid="{00000000-0005-0000-0000-0000440E0000}"/>
    <cellStyle name="Normal 12 3 8 2" xfId="13119" xr:uid="{F743C6D1-1988-4712-9B33-192BE0A6CE4C}"/>
    <cellStyle name="Normal 12 3 9" xfId="8901" xr:uid="{CA928521-80F9-4E2A-92DB-C25848D3A0EA}"/>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3A593FFA-958C-48F8-9A24-9076CD4012D4}"/>
    <cellStyle name="Normal 12 4 2 2 3" xfId="11462" xr:uid="{A158FE34-BDA4-45EE-AEAF-334591C625EE}"/>
    <cellStyle name="Normal 12 4 2 3" xfId="5085" xr:uid="{00000000-0005-0000-0000-0000490E0000}"/>
    <cellStyle name="Normal 12 4 2 3 2" xfId="13535" xr:uid="{6744DAD6-2400-49BB-B728-9A2C1DD3F1E1}"/>
    <cellStyle name="Normal 12 4 2 4" xfId="9317" xr:uid="{D759B0A4-1F39-489F-82D0-D7947A05F98A}"/>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157292FB-D23C-4EBC-B419-CA244842AA31}"/>
    <cellStyle name="Normal 12 4 3 2 3" xfId="11875" xr:uid="{04254E7D-0C81-4BB0-9D34-307A75C4F8FA}"/>
    <cellStyle name="Normal 12 4 3 3" xfId="5498" xr:uid="{00000000-0005-0000-0000-00004D0E0000}"/>
    <cellStyle name="Normal 12 4 3 3 2" xfId="13948" xr:uid="{0A5A2CDD-0368-4391-9BB2-FE00B6595345}"/>
    <cellStyle name="Normal 12 4 3 4" xfId="9730" xr:uid="{7650425C-DE15-47B2-AD2D-52E9F160858B}"/>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7C3EF06C-6ED3-4F03-A160-DB10C8BF4265}"/>
    <cellStyle name="Normal 12 4 4 2 3" xfId="12288" xr:uid="{0E2DCB67-DA1D-44FA-AAC8-D9AFF6C55905}"/>
    <cellStyle name="Normal 12 4 4 3" xfId="5911" xr:uid="{00000000-0005-0000-0000-0000510E0000}"/>
    <cellStyle name="Normal 12 4 4 3 2" xfId="14361" xr:uid="{A26699DF-BB87-43C1-ACF8-B5FDF264A1BD}"/>
    <cellStyle name="Normal 12 4 4 4" xfId="10143" xr:uid="{0CE2067B-3C9C-4DCC-A1F4-EC3FBC1F78F2}"/>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A70CE8BD-8049-46CF-9999-DBEBFDB31A69}"/>
    <cellStyle name="Normal 12 4 5 2 3" xfId="12701" xr:uid="{05BBEFD7-97AF-41BA-ABB4-E650A4A50ACC}"/>
    <cellStyle name="Normal 12 4 5 3" xfId="6324" xr:uid="{00000000-0005-0000-0000-0000550E0000}"/>
    <cellStyle name="Normal 12 4 5 3 2" xfId="14774" xr:uid="{A394AD15-B1F8-4D4E-8616-417FD3668826}"/>
    <cellStyle name="Normal 12 4 5 4" xfId="10556" xr:uid="{D18BE884-4D7F-4AF5-9747-8A5D78FD7698}"/>
    <cellStyle name="Normal 12 4 6" xfId="2454" xr:uid="{00000000-0005-0000-0000-0000560E0000}"/>
    <cellStyle name="Normal 12 4 6 2" xfId="6737" xr:uid="{00000000-0005-0000-0000-0000570E0000}"/>
    <cellStyle name="Normal 12 4 6 2 2" xfId="15187" xr:uid="{3C9965A3-3BC8-418D-A8B7-0C9CBC18A72A}"/>
    <cellStyle name="Normal 12 4 6 3" xfId="10969" xr:uid="{87466ADB-89A7-49EC-9A52-2A316E4EDCB2}"/>
    <cellStyle name="Normal 12 4 7" xfId="4671" xr:uid="{00000000-0005-0000-0000-0000580E0000}"/>
    <cellStyle name="Normal 12 4 7 2" xfId="13121" xr:uid="{7C8B2719-9E83-4A06-9FE5-FFF6B5DC1CAF}"/>
    <cellStyle name="Normal 12 4 8" xfId="8903" xr:uid="{8601FEA0-1EC5-4674-BBEA-4800C7FAF754}"/>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8457A1AB-94D1-4609-B1B3-28E98CE92DC0}"/>
    <cellStyle name="Normal 12 6 2 3" xfId="11455" xr:uid="{C394AB7F-F7AE-40C6-A41C-E0142C6CE765}"/>
    <cellStyle name="Normal 12 6 3" xfId="5078" xr:uid="{00000000-0005-0000-0000-00005D0E0000}"/>
    <cellStyle name="Normal 12 6 3 2" xfId="13528" xr:uid="{20A00BB1-1D7C-46BB-A843-0DF4755F94C8}"/>
    <cellStyle name="Normal 12 6 4" xfId="9310" xr:uid="{2AE1319F-D94B-4AE2-848D-2ACE17BE473B}"/>
    <cellStyle name="Normal 12 7" xfId="1183" xr:uid="{00000000-0005-0000-0000-00005E0E0000}"/>
    <cellStyle name="Normal 12 7 2" xfId="3414" xr:uid="{00000000-0005-0000-0000-00005F0E0000}"/>
    <cellStyle name="Normal 12 7 2 2" xfId="7636" xr:uid="{00000000-0005-0000-0000-0000600E0000}"/>
    <cellStyle name="Normal 12 7 2 2 2" xfId="16086" xr:uid="{AAFA1A9A-90F3-4D7D-A4C8-647F68DD96F8}"/>
    <cellStyle name="Normal 12 7 2 3" xfId="11868" xr:uid="{BADAB39A-718D-4D94-AFC6-3B72A2DAB885}"/>
    <cellStyle name="Normal 12 7 3" xfId="5491" xr:uid="{00000000-0005-0000-0000-0000610E0000}"/>
    <cellStyle name="Normal 12 7 3 2" xfId="13941" xr:uid="{7CA72BEE-31C4-4F69-B933-1DA185DECD2B}"/>
    <cellStyle name="Normal 12 7 4" xfId="9723" xr:uid="{D84DD1B1-2D7A-4CB7-B343-F6AE63138537}"/>
    <cellStyle name="Normal 12 8" xfId="1597" xr:uid="{00000000-0005-0000-0000-0000620E0000}"/>
    <cellStyle name="Normal 12 8 2" xfId="3827" xr:uid="{00000000-0005-0000-0000-0000630E0000}"/>
    <cellStyle name="Normal 12 8 2 2" xfId="8049" xr:uid="{00000000-0005-0000-0000-0000640E0000}"/>
    <cellStyle name="Normal 12 8 2 2 2" xfId="16499" xr:uid="{B8BABFEA-2DB7-4768-B25B-815F253203F8}"/>
    <cellStyle name="Normal 12 8 2 3" xfId="12281" xr:uid="{838FB421-D09D-4CDB-B335-D2948DCC3E6E}"/>
    <cellStyle name="Normal 12 8 3" xfId="5904" xr:uid="{00000000-0005-0000-0000-0000650E0000}"/>
    <cellStyle name="Normal 12 8 3 2" xfId="14354" xr:uid="{2864C3A8-41D7-4A2C-BF3B-2AA49D00FC47}"/>
    <cellStyle name="Normal 12 8 4" xfId="10136" xr:uid="{60C1A159-2370-45A2-8C17-6A0A44B952BE}"/>
    <cellStyle name="Normal 12 9" xfId="2011" xr:uid="{00000000-0005-0000-0000-0000660E0000}"/>
    <cellStyle name="Normal 12 9 2" xfId="4240" xr:uid="{00000000-0005-0000-0000-0000670E0000}"/>
    <cellStyle name="Normal 12 9 2 2" xfId="8462" xr:uid="{00000000-0005-0000-0000-0000680E0000}"/>
    <cellStyle name="Normal 12 9 2 2 2" xfId="16912" xr:uid="{21B03259-4998-4FD7-892A-8CFDF3AB8EF3}"/>
    <cellStyle name="Normal 12 9 2 3" xfId="12694" xr:uid="{8CDE8FA4-5E2A-4565-852D-F86B1B47AC79}"/>
    <cellStyle name="Normal 12 9 3" xfId="6317" xr:uid="{00000000-0005-0000-0000-0000690E0000}"/>
    <cellStyle name="Normal 12 9 3 2" xfId="14767" xr:uid="{EB3AD6DB-1638-4BBA-A310-4B6BA2FF9E1A}"/>
    <cellStyle name="Normal 12 9 4" xfId="10549" xr:uid="{52EA2808-8324-4024-9355-539B19E10FE4}"/>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15681" xr:uid="{610D85F0-D33C-4B25-ADDA-9ADA1DA36831}"/>
    <cellStyle name="Normal 14 2 2 3" xfId="11463" xr:uid="{0B08F709-CE9D-4B25-ACC6-3432FB998020}"/>
    <cellStyle name="Normal 14 2 3" xfId="5086" xr:uid="{00000000-0005-0000-0000-0000700E0000}"/>
    <cellStyle name="Normal 14 2 3 2" xfId="13536" xr:uid="{6A3A5933-71C9-4FEE-9946-AC8E9CEC116C}"/>
    <cellStyle name="Normal 14 2 4" xfId="9318" xr:uid="{4941AB6A-A200-421A-B920-DCCA829100E6}"/>
    <cellStyle name="Normal 14 3" xfId="1191" xr:uid="{00000000-0005-0000-0000-0000710E0000}"/>
    <cellStyle name="Normal 14 3 2" xfId="3422" xr:uid="{00000000-0005-0000-0000-0000720E0000}"/>
    <cellStyle name="Normal 14 3 2 2" xfId="7644" xr:uid="{00000000-0005-0000-0000-0000730E0000}"/>
    <cellStyle name="Normal 14 3 2 2 2" xfId="16094" xr:uid="{8BAA4E41-ABB9-4EA5-8739-849C1547EDA7}"/>
    <cellStyle name="Normal 14 3 2 3" xfId="11876" xr:uid="{3B829940-EA54-4B1B-9E17-4F7112CA7952}"/>
    <cellStyle name="Normal 14 3 3" xfId="5499" xr:uid="{00000000-0005-0000-0000-0000740E0000}"/>
    <cellStyle name="Normal 14 3 3 2" xfId="13949" xr:uid="{6E652852-5A36-4135-BEF0-D4EAE00185BE}"/>
    <cellStyle name="Normal 14 3 4" xfId="9731" xr:uid="{55CB0D28-8C02-4969-9344-2AD3F009E353}"/>
    <cellStyle name="Normal 14 4" xfId="1605" xr:uid="{00000000-0005-0000-0000-0000750E0000}"/>
    <cellStyle name="Normal 14 4 2" xfId="3835" xr:uid="{00000000-0005-0000-0000-0000760E0000}"/>
    <cellStyle name="Normal 14 4 2 2" xfId="8057" xr:uid="{00000000-0005-0000-0000-0000770E0000}"/>
    <cellStyle name="Normal 14 4 2 2 2" xfId="16507" xr:uid="{04A97A7B-0413-4185-B938-8554E297334D}"/>
    <cellStyle name="Normal 14 4 2 3" xfId="12289" xr:uid="{0BB27857-0FF5-4791-A15D-DF7D5E121CAA}"/>
    <cellStyle name="Normal 14 4 3" xfId="5912" xr:uid="{00000000-0005-0000-0000-0000780E0000}"/>
    <cellStyle name="Normal 14 4 3 2" xfId="14362" xr:uid="{2F3F19E8-1218-4BE7-9B64-44C0CB7B76D1}"/>
    <cellStyle name="Normal 14 4 4" xfId="10144" xr:uid="{70E7CA71-9B9E-423F-AFFA-A335D3183C34}"/>
    <cellStyle name="Normal 14 5" xfId="2019" xr:uid="{00000000-0005-0000-0000-0000790E0000}"/>
    <cellStyle name="Normal 14 5 2" xfId="4248" xr:uid="{00000000-0005-0000-0000-00007A0E0000}"/>
    <cellStyle name="Normal 14 5 2 2" xfId="8470" xr:uid="{00000000-0005-0000-0000-00007B0E0000}"/>
    <cellStyle name="Normal 14 5 2 2 2" xfId="16920" xr:uid="{ACD0830A-84B4-4A12-BC8E-6FE7DD59AE05}"/>
    <cellStyle name="Normal 14 5 2 3" xfId="12702" xr:uid="{D86605A0-8A79-451F-84E3-4BFC282AF9B9}"/>
    <cellStyle name="Normal 14 5 3" xfId="6325" xr:uid="{00000000-0005-0000-0000-00007C0E0000}"/>
    <cellStyle name="Normal 14 5 3 2" xfId="14775" xr:uid="{FD39A946-3664-42DD-AF1F-93E54C7CCFBC}"/>
    <cellStyle name="Normal 14 5 4" xfId="10557" xr:uid="{18527549-E7C2-4B7D-8B5B-FC82915964B6}"/>
    <cellStyle name="Normal 14 6" xfId="2455" xr:uid="{00000000-0005-0000-0000-00007D0E0000}"/>
    <cellStyle name="Normal 14 6 2" xfId="6738" xr:uid="{00000000-0005-0000-0000-00007E0E0000}"/>
    <cellStyle name="Normal 14 6 2 2" xfId="15188" xr:uid="{D4E4ABCA-4A60-4533-A24D-20FD1F5FD406}"/>
    <cellStyle name="Normal 14 6 3" xfId="10970" xr:uid="{9F6718D6-A913-426A-A8A2-865FA5AE9C02}"/>
    <cellStyle name="Normal 14 7" xfId="4672" xr:uid="{00000000-0005-0000-0000-00007F0E0000}"/>
    <cellStyle name="Normal 14 7 2" xfId="13122" xr:uid="{7890D835-61F9-41D3-BA98-BE02A99FA9F3}"/>
    <cellStyle name="Normal 14 8" xfId="8904" xr:uid="{7F488C3C-72D1-4516-8705-3A06837C8E16}"/>
    <cellStyle name="Normal 15" xfId="4496" xr:uid="{00000000-0005-0000-0000-0000800E0000}"/>
    <cellStyle name="Normal 15 2" xfId="12948" xr:uid="{C9B42475-9635-4927-BA83-31789F785937}"/>
    <cellStyle name="Normal 16" xfId="4500" xr:uid="{00000000-0005-0000-0000-0000810E0000}"/>
    <cellStyle name="Normal 16 2" xfId="8715" xr:uid="{00000000-0005-0000-0000-0000820E0000}"/>
    <cellStyle name="Normal 16 2 2" xfId="17165" xr:uid="{E9B57086-DBF2-4154-B707-7C6DE44A1E3E}"/>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17181" xr:uid="{1281056B-DADD-432F-874B-24BF4B4228D8}"/>
    <cellStyle name="Normal 16 3 2 2 2 3" xfId="17178" xr:uid="{B28E55EE-960B-4E4E-BEC8-96DE05B68F4F}"/>
    <cellStyle name="Normal 16 3 2 2 3" xfId="17174" xr:uid="{67802384-B316-479D-B757-25ED0C233560}"/>
    <cellStyle name="Normal 16 3 2 3" xfId="17171" xr:uid="{9E5EF34A-93ED-4903-B42E-EB200103A66F}"/>
    <cellStyle name="Normal 16 3 3" xfId="17168" xr:uid="{CB7E244F-85D0-4650-9786-CFFB2B5B47DC}"/>
    <cellStyle name="Normal 16 4" xfId="12951" xr:uid="{90D76A40-8EBE-45E5-8095-FC3F3F9E22D4}"/>
    <cellStyle name="Normal 17" xfId="8728" xr:uid="{3FF0972C-833B-4475-99D8-1A6907499E71}"/>
    <cellStyle name="Normal 17 2" xfId="17177" xr:uid="{979B89DB-4754-4F4D-A215-D9D6349EE70A}"/>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86875887-5EFF-4BE4-B755-71244742892F}"/>
    <cellStyle name="Normal 2 4 2 10 2 3" xfId="12703" xr:uid="{D4F9A50E-F270-4773-B7BA-4C3136ACBE65}"/>
    <cellStyle name="Normal 2 4 2 10 3" xfId="6326" xr:uid="{00000000-0005-0000-0000-0000910E0000}"/>
    <cellStyle name="Normal 2 4 2 10 3 2" xfId="14776" xr:uid="{3684CF2A-EAAA-48F6-9C20-6A8C8C4B4D05}"/>
    <cellStyle name="Normal 2 4 2 10 4" xfId="10558" xr:uid="{05F185C0-F0B7-4BF1-83F0-946283090FC2}"/>
    <cellStyle name="Normal 2 4 2 11" xfId="2456" xr:uid="{00000000-0005-0000-0000-0000920E0000}"/>
    <cellStyle name="Normal 2 4 2 11 2" xfId="6739" xr:uid="{00000000-0005-0000-0000-0000930E0000}"/>
    <cellStyle name="Normal 2 4 2 11 2 2" xfId="15189" xr:uid="{C608EF30-AAA6-4647-8880-447F836066B0}"/>
    <cellStyle name="Normal 2 4 2 11 3" xfId="10971" xr:uid="{50044BAE-45F7-4AA2-80CD-22A9E6D5DD0B}"/>
    <cellStyle name="Normal 2 4 2 12" xfId="4673" xr:uid="{00000000-0005-0000-0000-0000940E0000}"/>
    <cellStyle name="Normal 2 4 2 12 2" xfId="13123" xr:uid="{8D452B89-7D39-417C-8EA5-77CDC311C9C7}"/>
    <cellStyle name="Normal 2 4 2 13" xfId="8905" xr:uid="{EAB57741-25DF-4C95-80A6-1DADD88C24CE}"/>
    <cellStyle name="Normal 2 4 2 2" xfId="280" xr:uid="{00000000-0005-0000-0000-0000950E0000}"/>
    <cellStyle name="Normal 2 4 2 3" xfId="281" xr:uid="{00000000-0005-0000-0000-0000960E0000}"/>
    <cellStyle name="Normal 2 4 2 3 10" xfId="4674" xr:uid="{00000000-0005-0000-0000-0000970E0000}"/>
    <cellStyle name="Normal 2 4 2 3 10 2" xfId="13124" xr:uid="{F26A3CBF-B702-49F6-A2D4-BCD3F094C6FB}"/>
    <cellStyle name="Normal 2 4 2 3 11" xfId="8906" xr:uid="{4FB60E7F-DA3B-4F93-BF58-D3B4B936A11C}"/>
    <cellStyle name="Normal 2 4 2 3 2" xfId="282" xr:uid="{00000000-0005-0000-0000-0000980E0000}"/>
    <cellStyle name="Normal 2 4 2 3 2 10" xfId="8907" xr:uid="{53F11C40-881C-46A7-8764-8400855A20D8}"/>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42D533DA-37A1-4D29-8241-B3FFB0F853BA}"/>
    <cellStyle name="Normal 2 4 2 3 2 2 2 2 2 3" xfId="11468" xr:uid="{B375DDB0-9262-4AE3-AF6E-A65A8D65314D}"/>
    <cellStyle name="Normal 2 4 2 3 2 2 2 2 3" xfId="5091" xr:uid="{00000000-0005-0000-0000-00009E0E0000}"/>
    <cellStyle name="Normal 2 4 2 3 2 2 2 2 3 2" xfId="13541" xr:uid="{90D30C77-FBB5-423A-AD3E-68002554FE51}"/>
    <cellStyle name="Normal 2 4 2 3 2 2 2 2 4" xfId="9323" xr:uid="{4F06911C-D2E2-44F7-8977-54C76B7874A8}"/>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6C98DB97-FD77-4859-8BDB-E0FE38DB970C}"/>
    <cellStyle name="Normal 2 4 2 3 2 2 2 3 2 3" xfId="11881" xr:uid="{EEB1E3F5-41BB-48C7-A4B1-D48DC3C5C7B9}"/>
    <cellStyle name="Normal 2 4 2 3 2 2 2 3 3" xfId="5504" xr:uid="{00000000-0005-0000-0000-0000A20E0000}"/>
    <cellStyle name="Normal 2 4 2 3 2 2 2 3 3 2" xfId="13954" xr:uid="{668FE991-8B27-4C63-87BB-97506EAB93A5}"/>
    <cellStyle name="Normal 2 4 2 3 2 2 2 3 4" xfId="9736" xr:uid="{767284FA-E58F-407B-8DA7-2E0801ACD66E}"/>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4F170208-6001-4B81-8AE7-884BB0C658B5}"/>
    <cellStyle name="Normal 2 4 2 3 2 2 2 4 2 3" xfId="12294" xr:uid="{9CBDC3A4-770E-45EB-923C-0A65AC6C803E}"/>
    <cellStyle name="Normal 2 4 2 3 2 2 2 4 3" xfId="5917" xr:uid="{00000000-0005-0000-0000-0000A60E0000}"/>
    <cellStyle name="Normal 2 4 2 3 2 2 2 4 3 2" xfId="14367" xr:uid="{94867B1F-6C37-4FE0-AB14-03097FC02F2E}"/>
    <cellStyle name="Normal 2 4 2 3 2 2 2 4 4" xfId="10149" xr:uid="{DE73C05B-2F6D-4823-89E5-452CDE368E96}"/>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9D3F7133-E853-44AE-A2BC-7EF080B8647C}"/>
    <cellStyle name="Normal 2 4 2 3 2 2 2 5 2 3" xfId="12707" xr:uid="{65F2026C-E0D2-4F06-896B-0BA6B6730CB2}"/>
    <cellStyle name="Normal 2 4 2 3 2 2 2 5 3" xfId="6330" xr:uid="{00000000-0005-0000-0000-0000AA0E0000}"/>
    <cellStyle name="Normal 2 4 2 3 2 2 2 5 3 2" xfId="14780" xr:uid="{15B8F1BF-8E2F-412E-8295-E7A7B52A6D6A}"/>
    <cellStyle name="Normal 2 4 2 3 2 2 2 5 4" xfId="10562" xr:uid="{0BEADEA2-E8A3-4FE1-8B60-65BCF44DCA1E}"/>
    <cellStyle name="Normal 2 4 2 3 2 2 2 6" xfId="2460" xr:uid="{00000000-0005-0000-0000-0000AB0E0000}"/>
    <cellStyle name="Normal 2 4 2 3 2 2 2 6 2" xfId="6743" xr:uid="{00000000-0005-0000-0000-0000AC0E0000}"/>
    <cellStyle name="Normal 2 4 2 3 2 2 2 6 2 2" xfId="15193" xr:uid="{92E27C21-A513-44C1-8692-D0413C296B55}"/>
    <cellStyle name="Normal 2 4 2 3 2 2 2 6 3" xfId="10975" xr:uid="{2DEBC641-F944-4D34-9751-4CE595A7D1B1}"/>
    <cellStyle name="Normal 2 4 2 3 2 2 2 7" xfId="4677" xr:uid="{00000000-0005-0000-0000-0000AD0E0000}"/>
    <cellStyle name="Normal 2 4 2 3 2 2 2 7 2" xfId="13127" xr:uid="{8E80678B-2BBB-40B2-A8CE-7E74E6461DAD}"/>
    <cellStyle name="Normal 2 4 2 3 2 2 2 8" xfId="8909" xr:uid="{9F7C2E9F-CAD5-4535-90F8-0E1A526DEECD}"/>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3955DF98-0EE7-4E8D-ADC1-E4FC2D800F87}"/>
    <cellStyle name="Normal 2 4 2 3 2 2 3 2 3" xfId="11467" xr:uid="{E185C78E-0F3B-4BC8-96B0-9D0FF81D294D}"/>
    <cellStyle name="Normal 2 4 2 3 2 2 3 3" xfId="5090" xr:uid="{00000000-0005-0000-0000-0000B10E0000}"/>
    <cellStyle name="Normal 2 4 2 3 2 2 3 3 2" xfId="13540" xr:uid="{5B2CD6EB-1CB7-4E2C-B67F-BA14CBBC4F38}"/>
    <cellStyle name="Normal 2 4 2 3 2 2 3 4" xfId="9322" xr:uid="{323CA878-4C19-413C-9E75-5FD1C57A6A1D}"/>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1D043E83-70FF-43F2-AC70-50FAFC5A91FD}"/>
    <cellStyle name="Normal 2 4 2 3 2 2 4 2 3" xfId="11880" xr:uid="{C8511507-153F-4D2D-AA9A-B6106DAB7C76}"/>
    <cellStyle name="Normal 2 4 2 3 2 2 4 3" xfId="5503" xr:uid="{00000000-0005-0000-0000-0000B50E0000}"/>
    <cellStyle name="Normal 2 4 2 3 2 2 4 3 2" xfId="13953" xr:uid="{9033790C-B05B-429B-ADD3-244EA801CCE6}"/>
    <cellStyle name="Normal 2 4 2 3 2 2 4 4" xfId="9735" xr:uid="{099C4481-053A-4A2E-B95D-E376AD2DF424}"/>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A491F4AC-D216-42F4-B88D-1890C2CC6AEB}"/>
    <cellStyle name="Normal 2 4 2 3 2 2 5 2 3" xfId="12293" xr:uid="{3F687F9C-69CA-4946-9583-01A48B6C5CCE}"/>
    <cellStyle name="Normal 2 4 2 3 2 2 5 3" xfId="5916" xr:uid="{00000000-0005-0000-0000-0000B90E0000}"/>
    <cellStyle name="Normal 2 4 2 3 2 2 5 3 2" xfId="14366" xr:uid="{0D591E03-0882-4100-8E82-41E4E2BDB74C}"/>
    <cellStyle name="Normal 2 4 2 3 2 2 5 4" xfId="10148" xr:uid="{921D340F-26B8-4DE7-9625-60B2938B59EF}"/>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CF536747-4280-4AE9-A4A2-6A28C0E611B4}"/>
    <cellStyle name="Normal 2 4 2 3 2 2 6 2 3" xfId="12706" xr:uid="{551E281C-4C3B-483F-9FC5-3A05B3BD2A09}"/>
    <cellStyle name="Normal 2 4 2 3 2 2 6 3" xfId="6329" xr:uid="{00000000-0005-0000-0000-0000BD0E0000}"/>
    <cellStyle name="Normal 2 4 2 3 2 2 6 3 2" xfId="14779" xr:uid="{2134285D-3100-4D26-9E97-9BC2D4ABB7EE}"/>
    <cellStyle name="Normal 2 4 2 3 2 2 6 4" xfId="10561" xr:uid="{8E761791-E1CE-41D1-9697-842C95C6CC5A}"/>
    <cellStyle name="Normal 2 4 2 3 2 2 7" xfId="2459" xr:uid="{00000000-0005-0000-0000-0000BE0E0000}"/>
    <cellStyle name="Normal 2 4 2 3 2 2 7 2" xfId="6742" xr:uid="{00000000-0005-0000-0000-0000BF0E0000}"/>
    <cellStyle name="Normal 2 4 2 3 2 2 7 2 2" xfId="15192" xr:uid="{4DB96933-A8D7-4B82-9E67-B336417AB5BC}"/>
    <cellStyle name="Normal 2 4 2 3 2 2 7 3" xfId="10974" xr:uid="{DDD99148-D729-4CE3-BE1A-E53E8E9F4ED5}"/>
    <cellStyle name="Normal 2 4 2 3 2 2 8" xfId="4676" xr:uid="{00000000-0005-0000-0000-0000C00E0000}"/>
    <cellStyle name="Normal 2 4 2 3 2 2 8 2" xfId="13126" xr:uid="{29ECED47-9790-4338-8240-97D094DB79DB}"/>
    <cellStyle name="Normal 2 4 2 3 2 2 9" xfId="8908" xr:uid="{4FBC4690-AE9C-4B42-868F-12A645F8A83C}"/>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B379B6F4-7001-46E5-9F79-80D9AAB4117F}"/>
    <cellStyle name="Normal 2 4 2 3 2 3 2 2 3" xfId="11469" xr:uid="{0E5A8C81-53F3-425E-AFD5-74F545CAB379}"/>
    <cellStyle name="Normal 2 4 2 3 2 3 2 3" xfId="5092" xr:uid="{00000000-0005-0000-0000-0000C50E0000}"/>
    <cellStyle name="Normal 2 4 2 3 2 3 2 3 2" xfId="13542" xr:uid="{7229CADD-FB7A-4AE3-811B-BCB5B0332FCC}"/>
    <cellStyle name="Normal 2 4 2 3 2 3 2 4" xfId="9324" xr:uid="{27A876B6-6016-4089-BFB1-81863F2BC0E6}"/>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3C82BFFD-9028-46EF-BDFE-55A4F2EF507D}"/>
    <cellStyle name="Normal 2 4 2 3 2 3 3 2 3" xfId="11882" xr:uid="{0031E40E-CAAF-4707-88A6-ECDFFC86E092}"/>
    <cellStyle name="Normal 2 4 2 3 2 3 3 3" xfId="5505" xr:uid="{00000000-0005-0000-0000-0000C90E0000}"/>
    <cellStyle name="Normal 2 4 2 3 2 3 3 3 2" xfId="13955" xr:uid="{8E1C6B26-18E5-42B8-BBE2-9E866A0CE8E6}"/>
    <cellStyle name="Normal 2 4 2 3 2 3 3 4" xfId="9737" xr:uid="{3A11CF04-7091-493D-BB39-18E9FC19A17F}"/>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068C3BE1-01FC-49D0-9AFA-481CEE7A23FB}"/>
    <cellStyle name="Normal 2 4 2 3 2 3 4 2 3" xfId="12295" xr:uid="{0350A0A2-0506-434C-9FD6-55FFFC64096A}"/>
    <cellStyle name="Normal 2 4 2 3 2 3 4 3" xfId="5918" xr:uid="{00000000-0005-0000-0000-0000CD0E0000}"/>
    <cellStyle name="Normal 2 4 2 3 2 3 4 3 2" xfId="14368" xr:uid="{5D9753EF-1D27-402C-931D-CD7153898A9C}"/>
    <cellStyle name="Normal 2 4 2 3 2 3 4 4" xfId="10150" xr:uid="{33846C04-8BDC-4C1D-8DF0-721A3C37B7A5}"/>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A3F80D93-7AC5-40D0-BDE9-C2434F4E63B3}"/>
    <cellStyle name="Normal 2 4 2 3 2 3 5 2 3" xfId="12708" xr:uid="{91137B0F-EBF0-4DC6-BCB0-0FF768E7B1EF}"/>
    <cellStyle name="Normal 2 4 2 3 2 3 5 3" xfId="6331" xr:uid="{00000000-0005-0000-0000-0000D10E0000}"/>
    <cellStyle name="Normal 2 4 2 3 2 3 5 3 2" xfId="14781" xr:uid="{6C5716A3-82A1-409B-B0C9-F9AF68DB7113}"/>
    <cellStyle name="Normal 2 4 2 3 2 3 5 4" xfId="10563" xr:uid="{D7E1D06E-4A6D-4C29-A8FC-5B9261F1C9C9}"/>
    <cellStyle name="Normal 2 4 2 3 2 3 6" xfId="2461" xr:uid="{00000000-0005-0000-0000-0000D20E0000}"/>
    <cellStyle name="Normal 2 4 2 3 2 3 6 2" xfId="6744" xr:uid="{00000000-0005-0000-0000-0000D30E0000}"/>
    <cellStyle name="Normal 2 4 2 3 2 3 6 2 2" xfId="15194" xr:uid="{43536B8E-6A4F-40DB-9349-EE7736941DCE}"/>
    <cellStyle name="Normal 2 4 2 3 2 3 6 3" xfId="10976" xr:uid="{01A9747C-3E60-47AC-9B1F-D5870AB3413F}"/>
    <cellStyle name="Normal 2 4 2 3 2 3 7" xfId="4678" xr:uid="{00000000-0005-0000-0000-0000D40E0000}"/>
    <cellStyle name="Normal 2 4 2 3 2 3 7 2" xfId="13128" xr:uid="{4A70AF15-A0E8-438E-A755-35398837D5A8}"/>
    <cellStyle name="Normal 2 4 2 3 2 3 8" xfId="8910" xr:uid="{CE409E74-3AF8-41F0-88AB-3363B089665B}"/>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EA4375F0-C3A3-490E-AAA2-D9CDFB8011CF}"/>
    <cellStyle name="Normal 2 4 2 3 2 4 2 3" xfId="11466" xr:uid="{E508ADD9-19BB-4B0F-9FA4-46E9A15A8704}"/>
    <cellStyle name="Normal 2 4 2 3 2 4 3" xfId="5089" xr:uid="{00000000-0005-0000-0000-0000D80E0000}"/>
    <cellStyle name="Normal 2 4 2 3 2 4 3 2" xfId="13539" xr:uid="{6A97BEC1-43BF-4B91-B8F8-F6E09640F411}"/>
    <cellStyle name="Normal 2 4 2 3 2 4 4" xfId="9321" xr:uid="{42E48BA2-9983-4D3E-A21C-94E776C51A3D}"/>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347C94A8-4A8A-47E3-A52A-71D1087F9569}"/>
    <cellStyle name="Normal 2 4 2 3 2 5 2 3" xfId="11879" xr:uid="{26E62B67-795E-4F58-B976-52DCC4B1A9E7}"/>
    <cellStyle name="Normal 2 4 2 3 2 5 3" xfId="5502" xr:uid="{00000000-0005-0000-0000-0000DC0E0000}"/>
    <cellStyle name="Normal 2 4 2 3 2 5 3 2" xfId="13952" xr:uid="{87B01186-327A-4465-8698-064800CE93AE}"/>
    <cellStyle name="Normal 2 4 2 3 2 5 4" xfId="9734" xr:uid="{689FF5C9-4FD1-4A99-978F-0FA4A76689B6}"/>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3443AC72-906D-46C0-8091-AE35AABB2812}"/>
    <cellStyle name="Normal 2 4 2 3 2 6 2 3" xfId="12292" xr:uid="{E77D650F-A12C-48C7-B5BD-E249330DE218}"/>
    <cellStyle name="Normal 2 4 2 3 2 6 3" xfId="5915" xr:uid="{00000000-0005-0000-0000-0000E00E0000}"/>
    <cellStyle name="Normal 2 4 2 3 2 6 3 2" xfId="14365" xr:uid="{F8170CA8-0F1B-4DC2-8636-B4D98322E1DB}"/>
    <cellStyle name="Normal 2 4 2 3 2 6 4" xfId="10147" xr:uid="{5CEE02A7-45F1-4149-B6C3-20A2D48D8816}"/>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2273A1D7-44E4-419C-87AA-D934AF7B55B1}"/>
    <cellStyle name="Normal 2 4 2 3 2 7 2 3" xfId="12705" xr:uid="{CB2FC678-9BC4-4845-B4D9-89DFA0024A7F}"/>
    <cellStyle name="Normal 2 4 2 3 2 7 3" xfId="6328" xr:uid="{00000000-0005-0000-0000-0000E40E0000}"/>
    <cellStyle name="Normal 2 4 2 3 2 7 3 2" xfId="14778" xr:uid="{28FB8E9C-679E-41DF-A723-C1B0170F0B78}"/>
    <cellStyle name="Normal 2 4 2 3 2 7 4" xfId="10560" xr:uid="{C196CAA6-0D62-45BC-B67D-EDA16E954020}"/>
    <cellStyle name="Normal 2 4 2 3 2 8" xfId="2458" xr:uid="{00000000-0005-0000-0000-0000E50E0000}"/>
    <cellStyle name="Normal 2 4 2 3 2 8 2" xfId="6741" xr:uid="{00000000-0005-0000-0000-0000E60E0000}"/>
    <cellStyle name="Normal 2 4 2 3 2 8 2 2" xfId="15191" xr:uid="{648048D3-D518-4E04-9B93-C5A4FC69261D}"/>
    <cellStyle name="Normal 2 4 2 3 2 8 3" xfId="10973" xr:uid="{29AEA079-545C-4D25-B7F8-BB904D224A1E}"/>
    <cellStyle name="Normal 2 4 2 3 2 9" xfId="4675" xr:uid="{00000000-0005-0000-0000-0000E70E0000}"/>
    <cellStyle name="Normal 2 4 2 3 2 9 2" xfId="13125" xr:uid="{B808572F-FFC3-45DA-8A70-2857D0D23BC7}"/>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BCB98CF5-DE99-450A-924F-9D7C0CAC0FD2}"/>
    <cellStyle name="Normal 2 4 2 3 3 2 2 2 3" xfId="11471" xr:uid="{730FFCC3-73C1-461D-B552-6B4562E69A78}"/>
    <cellStyle name="Normal 2 4 2 3 3 2 2 3" xfId="5094" xr:uid="{00000000-0005-0000-0000-0000ED0E0000}"/>
    <cellStyle name="Normal 2 4 2 3 3 2 2 3 2" xfId="13544" xr:uid="{12C0E28F-19D1-4DC0-9D9B-C593480428C7}"/>
    <cellStyle name="Normal 2 4 2 3 3 2 2 4" xfId="9326" xr:uid="{3E53426B-1CAD-4CB8-B8B9-3022AA15F14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AECE0D52-F20E-4B60-8671-C7AD0EA25B56}"/>
    <cellStyle name="Normal 2 4 2 3 3 2 3 2 3" xfId="11884" xr:uid="{EA3FE199-AC25-4112-BBD3-598546292500}"/>
    <cellStyle name="Normal 2 4 2 3 3 2 3 3" xfId="5507" xr:uid="{00000000-0005-0000-0000-0000F10E0000}"/>
    <cellStyle name="Normal 2 4 2 3 3 2 3 3 2" xfId="13957" xr:uid="{515DFBAC-6FA9-434C-9730-AC6C138EF8E1}"/>
    <cellStyle name="Normal 2 4 2 3 3 2 3 4" xfId="9739" xr:uid="{FADB8137-3C71-4EB3-84B4-9A88EBD8EB48}"/>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73AE3BDF-E2E5-4498-B55B-0B6455C08052}"/>
    <cellStyle name="Normal 2 4 2 3 3 2 4 2 3" xfId="12297" xr:uid="{852FB808-BD5C-490B-95C0-D9A7688EFB7B}"/>
    <cellStyle name="Normal 2 4 2 3 3 2 4 3" xfId="5920" xr:uid="{00000000-0005-0000-0000-0000F50E0000}"/>
    <cellStyle name="Normal 2 4 2 3 3 2 4 3 2" xfId="14370" xr:uid="{89793C15-6FEF-49C1-8662-A1726AE69D96}"/>
    <cellStyle name="Normal 2 4 2 3 3 2 4 4" xfId="10152" xr:uid="{2D37E05F-93F5-485E-8B10-A9AB1DDD059D}"/>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B2EA6513-5A53-482E-8F29-4A0713AF8F64}"/>
    <cellStyle name="Normal 2 4 2 3 3 2 5 2 3" xfId="12710" xr:uid="{BBDBD77F-8630-44CB-BDA8-BFE63CFA49E5}"/>
    <cellStyle name="Normal 2 4 2 3 3 2 5 3" xfId="6333" xr:uid="{00000000-0005-0000-0000-0000F90E0000}"/>
    <cellStyle name="Normal 2 4 2 3 3 2 5 3 2" xfId="14783" xr:uid="{42686A5E-D544-4AD6-A145-77924EE88171}"/>
    <cellStyle name="Normal 2 4 2 3 3 2 5 4" xfId="10565" xr:uid="{A3A8F648-E428-4927-928E-DE09CB72FE8C}"/>
    <cellStyle name="Normal 2 4 2 3 3 2 6" xfId="2463" xr:uid="{00000000-0005-0000-0000-0000FA0E0000}"/>
    <cellStyle name="Normal 2 4 2 3 3 2 6 2" xfId="6746" xr:uid="{00000000-0005-0000-0000-0000FB0E0000}"/>
    <cellStyle name="Normal 2 4 2 3 3 2 6 2 2" xfId="15196" xr:uid="{EE2EA174-962D-42A6-9203-071659D7159E}"/>
    <cellStyle name="Normal 2 4 2 3 3 2 6 3" xfId="10978" xr:uid="{33FFF842-AA2B-42FD-8D17-F7A8DF15A62E}"/>
    <cellStyle name="Normal 2 4 2 3 3 2 7" xfId="4680" xr:uid="{00000000-0005-0000-0000-0000FC0E0000}"/>
    <cellStyle name="Normal 2 4 2 3 3 2 7 2" xfId="13130" xr:uid="{19BF8D1C-14E4-4BF8-9903-3CDC98349AB5}"/>
    <cellStyle name="Normal 2 4 2 3 3 2 8" xfId="8912" xr:uid="{B7736075-0CD4-4865-A162-4840FF06188A}"/>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2EF947B6-435F-4F0A-8705-16FE9F56D8C7}"/>
    <cellStyle name="Normal 2 4 2 3 3 3 2 3" xfId="11470" xr:uid="{F71C6674-C4F4-4D9A-A900-B65946AB4884}"/>
    <cellStyle name="Normal 2 4 2 3 3 3 3" xfId="5093" xr:uid="{00000000-0005-0000-0000-0000000F0000}"/>
    <cellStyle name="Normal 2 4 2 3 3 3 3 2" xfId="13543" xr:uid="{E685CE85-4D27-4910-998B-7FFA14FEB3AC}"/>
    <cellStyle name="Normal 2 4 2 3 3 3 4" xfId="9325" xr:uid="{C6C648C3-1955-4EDD-B2BA-97EB53869976}"/>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9BBE0519-0A0C-4470-B713-FB890F23CB2C}"/>
    <cellStyle name="Normal 2 4 2 3 3 4 2 3" xfId="11883" xr:uid="{0C44F1D2-BEDB-4164-96B7-36A5E437612C}"/>
    <cellStyle name="Normal 2 4 2 3 3 4 3" xfId="5506" xr:uid="{00000000-0005-0000-0000-0000040F0000}"/>
    <cellStyle name="Normal 2 4 2 3 3 4 3 2" xfId="13956" xr:uid="{A4F056AB-D182-4800-BAB7-11CB61099763}"/>
    <cellStyle name="Normal 2 4 2 3 3 4 4" xfId="9738" xr:uid="{70D554EA-4EE1-482B-954D-AABC2E4C40C4}"/>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C3DAD4DD-F7CF-42CA-88E7-5E7776A4AEC9}"/>
    <cellStyle name="Normal 2 4 2 3 3 5 2 3" xfId="12296" xr:uid="{6E964B49-5B69-43F8-A3FB-7C5E5AB03793}"/>
    <cellStyle name="Normal 2 4 2 3 3 5 3" xfId="5919" xr:uid="{00000000-0005-0000-0000-0000080F0000}"/>
    <cellStyle name="Normal 2 4 2 3 3 5 3 2" xfId="14369" xr:uid="{2ED6E2DA-44A8-4A2E-8D3A-9016B84F985A}"/>
    <cellStyle name="Normal 2 4 2 3 3 5 4" xfId="10151" xr:uid="{8BB21361-B589-4351-A43A-8FA7EB77205E}"/>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921FCA4E-CF9D-4E78-9562-6BAD3921BBB3}"/>
    <cellStyle name="Normal 2 4 2 3 3 6 2 3" xfId="12709" xr:uid="{37E572CE-4D27-4D79-BF32-307606876822}"/>
    <cellStyle name="Normal 2 4 2 3 3 6 3" xfId="6332" xr:uid="{00000000-0005-0000-0000-00000C0F0000}"/>
    <cellStyle name="Normal 2 4 2 3 3 6 3 2" xfId="14782" xr:uid="{FBDFDD80-DF3F-4F0D-AAB8-A83BF2B5BEB6}"/>
    <cellStyle name="Normal 2 4 2 3 3 6 4" xfId="10564" xr:uid="{A1BECAEE-7976-4920-924E-DC713D52691B}"/>
    <cellStyle name="Normal 2 4 2 3 3 7" xfId="2462" xr:uid="{00000000-0005-0000-0000-00000D0F0000}"/>
    <cellStyle name="Normal 2 4 2 3 3 7 2" xfId="6745" xr:uid="{00000000-0005-0000-0000-00000E0F0000}"/>
    <cellStyle name="Normal 2 4 2 3 3 7 2 2" xfId="15195" xr:uid="{804B7AAC-BFE8-498F-AD1D-20BE8212F242}"/>
    <cellStyle name="Normal 2 4 2 3 3 7 3" xfId="10977" xr:uid="{90DD536E-854C-4666-A7A3-A430BF8ACD01}"/>
    <cellStyle name="Normal 2 4 2 3 3 8" xfId="4679" xr:uid="{00000000-0005-0000-0000-00000F0F0000}"/>
    <cellStyle name="Normal 2 4 2 3 3 8 2" xfId="13129" xr:uid="{9355B165-2FD1-426F-ADE0-9B5D7D529D58}"/>
    <cellStyle name="Normal 2 4 2 3 3 9" xfId="8911" xr:uid="{30A3EA7C-EF78-4725-B8EB-F5E4BF56BFA4}"/>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C96A750E-BC50-4AF3-8B9D-ADFA0BDCF6EB}"/>
    <cellStyle name="Normal 2 4 2 3 4 2 2 3" xfId="11472" xr:uid="{B58FBED9-F3C1-4D9B-B443-B007F9EF4FBD}"/>
    <cellStyle name="Normal 2 4 2 3 4 2 3" xfId="5095" xr:uid="{00000000-0005-0000-0000-0000140F0000}"/>
    <cellStyle name="Normal 2 4 2 3 4 2 3 2" xfId="13545" xr:uid="{22CF2773-48F8-46AC-B584-A33326F97FEF}"/>
    <cellStyle name="Normal 2 4 2 3 4 2 4" xfId="9327" xr:uid="{22D776AE-3205-4C42-A196-87F2D84D4C53}"/>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3A204E26-239C-4C01-B71A-8FD54514CF60}"/>
    <cellStyle name="Normal 2 4 2 3 4 3 2 3" xfId="11885" xr:uid="{AB720EB0-6A5D-4710-B729-36DFA3A54151}"/>
    <cellStyle name="Normal 2 4 2 3 4 3 3" xfId="5508" xr:uid="{00000000-0005-0000-0000-0000180F0000}"/>
    <cellStyle name="Normal 2 4 2 3 4 3 3 2" xfId="13958" xr:uid="{65939531-90DD-4FFF-AE45-1C8180FFB1D2}"/>
    <cellStyle name="Normal 2 4 2 3 4 3 4" xfId="9740" xr:uid="{D302AABD-97A5-4CDB-85E7-6D2876B75AE2}"/>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7FCC5C5D-0906-481E-B0E4-ADAEEA0D62B9}"/>
    <cellStyle name="Normal 2 4 2 3 4 4 2 3" xfId="12298" xr:uid="{ED4DB347-51CF-42B3-B3D8-9E8E25302848}"/>
    <cellStyle name="Normal 2 4 2 3 4 4 3" xfId="5921" xr:uid="{00000000-0005-0000-0000-00001C0F0000}"/>
    <cellStyle name="Normal 2 4 2 3 4 4 3 2" xfId="14371" xr:uid="{07EF97EE-4877-48AE-A0EA-448DEAF4E0FD}"/>
    <cellStyle name="Normal 2 4 2 3 4 4 4" xfId="10153" xr:uid="{3FDA14B3-6B29-4538-BCB1-3053674BCE49}"/>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5A46BB41-D56D-44A0-882B-870E37F428BA}"/>
    <cellStyle name="Normal 2 4 2 3 4 5 2 3" xfId="12711" xr:uid="{12576FEE-9DC7-4807-BCB6-E62D33F17BAA}"/>
    <cellStyle name="Normal 2 4 2 3 4 5 3" xfId="6334" xr:uid="{00000000-0005-0000-0000-0000200F0000}"/>
    <cellStyle name="Normal 2 4 2 3 4 5 3 2" xfId="14784" xr:uid="{9B2A216E-6D25-4C24-9E79-F5D9B6940131}"/>
    <cellStyle name="Normal 2 4 2 3 4 5 4" xfId="10566" xr:uid="{4ED6CB0F-D600-4661-8891-C80B9EE8A300}"/>
    <cellStyle name="Normal 2 4 2 3 4 6" xfId="2464" xr:uid="{00000000-0005-0000-0000-0000210F0000}"/>
    <cellStyle name="Normal 2 4 2 3 4 6 2" xfId="6747" xr:uid="{00000000-0005-0000-0000-0000220F0000}"/>
    <cellStyle name="Normal 2 4 2 3 4 6 2 2" xfId="15197" xr:uid="{03622DDD-A004-4C0E-B5A5-FF708674D0B9}"/>
    <cellStyle name="Normal 2 4 2 3 4 6 3" xfId="10979" xr:uid="{0D234191-A8A4-4C4A-9724-A351A77E0692}"/>
    <cellStyle name="Normal 2 4 2 3 4 7" xfId="4681" xr:uid="{00000000-0005-0000-0000-0000230F0000}"/>
    <cellStyle name="Normal 2 4 2 3 4 7 2" xfId="13131" xr:uid="{EE8202A0-3D0D-4EB2-8CD6-9D841E50C7C0}"/>
    <cellStyle name="Normal 2 4 2 3 4 8" xfId="8913" xr:uid="{C632C6B7-055B-41A6-8D73-6B86914C9B5E}"/>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840D9645-2677-48CB-AC2C-5130CEB31695}"/>
    <cellStyle name="Normal 2 4 2 3 5 2 3" xfId="11465" xr:uid="{A775A698-7034-4155-85D9-5099528193F3}"/>
    <cellStyle name="Normal 2 4 2 3 5 3" xfId="5088" xr:uid="{00000000-0005-0000-0000-0000270F0000}"/>
    <cellStyle name="Normal 2 4 2 3 5 3 2" xfId="13538" xr:uid="{B4557673-FB7E-4855-BDFC-62D0862C0743}"/>
    <cellStyle name="Normal 2 4 2 3 5 4" xfId="9320" xr:uid="{6DBAC7F3-B19A-4B65-9126-D552BD0DE546}"/>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50B031BB-4EAF-49BA-A0A5-1D190812AD01}"/>
    <cellStyle name="Normal 2 4 2 3 6 2 3" xfId="11878" xr:uid="{D6596FAD-EF6A-4E07-B2B7-AAF0F0DA0853}"/>
    <cellStyle name="Normal 2 4 2 3 6 3" xfId="5501" xr:uid="{00000000-0005-0000-0000-00002B0F0000}"/>
    <cellStyle name="Normal 2 4 2 3 6 3 2" xfId="13951" xr:uid="{294D66B0-39FB-4B0F-B626-797DA3B1B6E5}"/>
    <cellStyle name="Normal 2 4 2 3 6 4" xfId="9733" xr:uid="{C80DEAEA-21C7-4ABA-B151-9EC1D24DDBC7}"/>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31A2B17A-DF35-4378-B4A8-EF77D1AE64CE}"/>
    <cellStyle name="Normal 2 4 2 3 7 2 3" xfId="12291" xr:uid="{DB292F8C-C93F-4BFD-AF9F-15AFF62AAD26}"/>
    <cellStyle name="Normal 2 4 2 3 7 3" xfId="5914" xr:uid="{00000000-0005-0000-0000-00002F0F0000}"/>
    <cellStyle name="Normal 2 4 2 3 7 3 2" xfId="14364" xr:uid="{786DE878-84EA-4581-A804-EB512C0BE055}"/>
    <cellStyle name="Normal 2 4 2 3 7 4" xfId="10146" xr:uid="{1437D0C9-DCF6-47C2-A441-B642AFCEE82D}"/>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BAEE86BF-27ED-4DB1-BA89-DC9555FA0280}"/>
    <cellStyle name="Normal 2 4 2 3 8 2 3" xfId="12704" xr:uid="{CC2CE1F2-2EED-4FC3-8DA3-FCCBCFC3393E}"/>
    <cellStyle name="Normal 2 4 2 3 8 3" xfId="6327" xr:uid="{00000000-0005-0000-0000-0000330F0000}"/>
    <cellStyle name="Normal 2 4 2 3 8 3 2" xfId="14777" xr:uid="{192D6367-A207-4F97-A179-551BB685B276}"/>
    <cellStyle name="Normal 2 4 2 3 8 4" xfId="10559" xr:uid="{237601F1-C43B-4289-BBEE-F6684D7023F8}"/>
    <cellStyle name="Normal 2 4 2 3 9" xfId="2457" xr:uid="{00000000-0005-0000-0000-0000340F0000}"/>
    <cellStyle name="Normal 2 4 2 3 9 2" xfId="6740" xr:uid="{00000000-0005-0000-0000-0000350F0000}"/>
    <cellStyle name="Normal 2 4 2 3 9 2 2" xfId="15190" xr:uid="{35146E39-D40F-4D20-997A-DE4AF63807CC}"/>
    <cellStyle name="Normal 2 4 2 3 9 3" xfId="10972" xr:uid="{5765A05D-1AB0-411F-AFE6-67E59A711859}"/>
    <cellStyle name="Normal 2 4 2 4" xfId="289" xr:uid="{00000000-0005-0000-0000-0000360F0000}"/>
    <cellStyle name="Normal 2 4 2 4 10" xfId="8914" xr:uid="{402A8DF3-B3DA-4EC4-A995-BCF95C33E007}"/>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D65062EF-EC4A-4DBF-BCBF-21F682D62792}"/>
    <cellStyle name="Normal 2 4 2 4 2 2 2 2 3" xfId="11475" xr:uid="{E3DA58D6-E5C4-4C93-AF13-04F51D4BE3AD}"/>
    <cellStyle name="Normal 2 4 2 4 2 2 2 3" xfId="5098" xr:uid="{00000000-0005-0000-0000-00003C0F0000}"/>
    <cellStyle name="Normal 2 4 2 4 2 2 2 3 2" xfId="13548" xr:uid="{9504390C-64E9-42C2-8838-02384F3AA53A}"/>
    <cellStyle name="Normal 2 4 2 4 2 2 2 4" xfId="9330" xr:uid="{64AAE939-8AFD-4F69-B38F-533F4F3CEFA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05532D2E-F3A0-4126-98C5-54D90C051051}"/>
    <cellStyle name="Normal 2 4 2 4 2 2 3 2 3" xfId="11888" xr:uid="{5C9AE9B2-C8CF-4B97-951B-C2312D07FF75}"/>
    <cellStyle name="Normal 2 4 2 4 2 2 3 3" xfId="5511" xr:uid="{00000000-0005-0000-0000-0000400F0000}"/>
    <cellStyle name="Normal 2 4 2 4 2 2 3 3 2" xfId="13961" xr:uid="{85FCA2BF-2E3D-4D7A-9F9C-3DACFE8CCB6E}"/>
    <cellStyle name="Normal 2 4 2 4 2 2 3 4" xfId="9743" xr:uid="{FCB59490-9C33-4A01-9483-72D95B31A74D}"/>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5F573B15-A2C9-4D34-80D7-F540639CA290}"/>
    <cellStyle name="Normal 2 4 2 4 2 2 4 2 3" xfId="12301" xr:uid="{E84CF6FC-C530-4D68-A416-07FCAD7DED52}"/>
    <cellStyle name="Normal 2 4 2 4 2 2 4 3" xfId="5924" xr:uid="{00000000-0005-0000-0000-0000440F0000}"/>
    <cellStyle name="Normal 2 4 2 4 2 2 4 3 2" xfId="14374" xr:uid="{B627F012-BF58-410E-8C9D-3AC3580B950E}"/>
    <cellStyle name="Normal 2 4 2 4 2 2 4 4" xfId="10156" xr:uid="{E27F369C-A8BA-4BFD-9C7C-9F8EB5FB0C87}"/>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0DE5E5D7-9422-49B2-A8CB-40167DBA3EFF}"/>
    <cellStyle name="Normal 2 4 2 4 2 2 5 2 3" xfId="12714" xr:uid="{E73C2CBC-4CC8-4DDE-B73C-BE695EB5EEC6}"/>
    <cellStyle name="Normal 2 4 2 4 2 2 5 3" xfId="6337" xr:uid="{00000000-0005-0000-0000-0000480F0000}"/>
    <cellStyle name="Normal 2 4 2 4 2 2 5 3 2" xfId="14787" xr:uid="{9CC9D00E-43D3-44AB-A066-C8ABFAFB3256}"/>
    <cellStyle name="Normal 2 4 2 4 2 2 5 4" xfId="10569" xr:uid="{1A57DA4C-C80F-4715-930F-0CB332EFC0B4}"/>
    <cellStyle name="Normal 2 4 2 4 2 2 6" xfId="2467" xr:uid="{00000000-0005-0000-0000-0000490F0000}"/>
    <cellStyle name="Normal 2 4 2 4 2 2 6 2" xfId="6750" xr:uid="{00000000-0005-0000-0000-00004A0F0000}"/>
    <cellStyle name="Normal 2 4 2 4 2 2 6 2 2" xfId="15200" xr:uid="{6886A46E-E739-4182-8270-8645DB44E074}"/>
    <cellStyle name="Normal 2 4 2 4 2 2 6 3" xfId="10982" xr:uid="{C647C3E5-00A3-480B-A20C-9ADD23F6D844}"/>
    <cellStyle name="Normal 2 4 2 4 2 2 7" xfId="4684" xr:uid="{00000000-0005-0000-0000-00004B0F0000}"/>
    <cellStyle name="Normal 2 4 2 4 2 2 7 2" xfId="13134" xr:uid="{A69E61DA-4C8A-4D7A-A6DE-82D0943B33E1}"/>
    <cellStyle name="Normal 2 4 2 4 2 2 8" xfId="8916" xr:uid="{2AB87EA1-D8DB-4B5F-9EDF-1FF223877CAA}"/>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EAA2261D-6A0D-4C46-BF7D-DBA288DE4ECC}"/>
    <cellStyle name="Normal 2 4 2 4 2 3 2 3" xfId="11474" xr:uid="{BEE59699-6552-45A7-9B9F-3D42D64C10F3}"/>
    <cellStyle name="Normal 2 4 2 4 2 3 3" xfId="5097" xr:uid="{00000000-0005-0000-0000-00004F0F0000}"/>
    <cellStyle name="Normal 2 4 2 4 2 3 3 2" xfId="13547" xr:uid="{55613DCB-34A5-492A-B86C-71212F792979}"/>
    <cellStyle name="Normal 2 4 2 4 2 3 4" xfId="9329" xr:uid="{8D0A1655-1A50-4B8C-84F2-4A8EE234218D}"/>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7A1FB2D1-AE47-4291-8525-90362F0CE87C}"/>
    <cellStyle name="Normal 2 4 2 4 2 4 2 3" xfId="11887" xr:uid="{68C18BD3-C829-42C3-B4F2-CAEA20D61F7F}"/>
    <cellStyle name="Normal 2 4 2 4 2 4 3" xfId="5510" xr:uid="{00000000-0005-0000-0000-0000530F0000}"/>
    <cellStyle name="Normal 2 4 2 4 2 4 3 2" xfId="13960" xr:uid="{AF70E77E-1991-434B-9B06-27EA574F24EA}"/>
    <cellStyle name="Normal 2 4 2 4 2 4 4" xfId="9742" xr:uid="{6D70465A-F358-43BD-90EC-2851E135B011}"/>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03369B85-97C4-454D-A219-CF8BE47D4CE9}"/>
    <cellStyle name="Normal 2 4 2 4 2 5 2 3" xfId="12300" xr:uid="{AB6C9BD5-DB7D-43B5-AFF1-A3B031E223D2}"/>
    <cellStyle name="Normal 2 4 2 4 2 5 3" xfId="5923" xr:uid="{00000000-0005-0000-0000-0000570F0000}"/>
    <cellStyle name="Normal 2 4 2 4 2 5 3 2" xfId="14373" xr:uid="{0C070C8E-3DA5-4DC2-B182-7E0840351277}"/>
    <cellStyle name="Normal 2 4 2 4 2 5 4" xfId="10155" xr:uid="{C11246E3-0163-47BC-9341-F6EBD2288C3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A338D2A1-545C-4478-B702-A8991B1E5463}"/>
    <cellStyle name="Normal 2 4 2 4 2 6 2 3" xfId="12713" xr:uid="{E1A30625-2B7A-42CC-8F5F-899F7269F427}"/>
    <cellStyle name="Normal 2 4 2 4 2 6 3" xfId="6336" xr:uid="{00000000-0005-0000-0000-00005B0F0000}"/>
    <cellStyle name="Normal 2 4 2 4 2 6 3 2" xfId="14786" xr:uid="{2C9EC21A-34EA-49D2-906B-ED1C597FB5F1}"/>
    <cellStyle name="Normal 2 4 2 4 2 6 4" xfId="10568" xr:uid="{D7C65D5B-BBD1-40E6-BFDD-DF5E9EDFE4FB}"/>
    <cellStyle name="Normal 2 4 2 4 2 7" xfId="2466" xr:uid="{00000000-0005-0000-0000-00005C0F0000}"/>
    <cellStyle name="Normal 2 4 2 4 2 7 2" xfId="6749" xr:uid="{00000000-0005-0000-0000-00005D0F0000}"/>
    <cellStyle name="Normal 2 4 2 4 2 7 2 2" xfId="15199" xr:uid="{E81F6DAE-E778-4C3C-8FEC-AC2E32AE1A67}"/>
    <cellStyle name="Normal 2 4 2 4 2 7 3" xfId="10981" xr:uid="{98DE0E52-E5CF-4AAA-92BA-15857E20251B}"/>
    <cellStyle name="Normal 2 4 2 4 2 8" xfId="4683" xr:uid="{00000000-0005-0000-0000-00005E0F0000}"/>
    <cellStyle name="Normal 2 4 2 4 2 8 2" xfId="13133" xr:uid="{B65BD732-C9E1-4C9E-A387-3826EF2EAB03}"/>
    <cellStyle name="Normal 2 4 2 4 2 9" xfId="8915" xr:uid="{507846C2-AD8C-4210-AAAB-EFF835700D72}"/>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9BBD0C63-B32D-496E-BE5F-8FFEAE05C9D6}"/>
    <cellStyle name="Normal 2 4 2 4 3 2 2 3" xfId="11476" xr:uid="{ACE96A92-2AB8-472F-BA2B-E67D73AEF832}"/>
    <cellStyle name="Normal 2 4 2 4 3 2 3" xfId="5099" xr:uid="{00000000-0005-0000-0000-0000630F0000}"/>
    <cellStyle name="Normal 2 4 2 4 3 2 3 2" xfId="13549" xr:uid="{A2BED4BD-30A1-4874-8548-0F8F6D52E70C}"/>
    <cellStyle name="Normal 2 4 2 4 3 2 4" xfId="9331" xr:uid="{7BE1BFDC-089F-49D1-8964-402F2E603D6B}"/>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EBB5CE8D-78FA-4D8A-B8D7-55892A29A368}"/>
    <cellStyle name="Normal 2 4 2 4 3 3 2 3" xfId="11889" xr:uid="{BE4CE36D-E147-49D0-B4C3-C6F6EC8A9050}"/>
    <cellStyle name="Normal 2 4 2 4 3 3 3" xfId="5512" xr:uid="{00000000-0005-0000-0000-0000670F0000}"/>
    <cellStyle name="Normal 2 4 2 4 3 3 3 2" xfId="13962" xr:uid="{6E147965-5497-4BCB-A4AF-3B499723E127}"/>
    <cellStyle name="Normal 2 4 2 4 3 3 4" xfId="9744" xr:uid="{6365A577-5260-4F33-BFAF-23E4737C83AB}"/>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A14B4440-CC7E-4658-85C0-74FFF05F1FFB}"/>
    <cellStyle name="Normal 2 4 2 4 3 4 2 3" xfId="12302" xr:uid="{BC4F4AED-3845-4D69-9546-4620D4D1E7B6}"/>
    <cellStyle name="Normal 2 4 2 4 3 4 3" xfId="5925" xr:uid="{00000000-0005-0000-0000-00006B0F0000}"/>
    <cellStyle name="Normal 2 4 2 4 3 4 3 2" xfId="14375" xr:uid="{D1C291C8-2600-4A79-816D-9A86EC2A74B4}"/>
    <cellStyle name="Normal 2 4 2 4 3 4 4" xfId="10157" xr:uid="{E49EF7F8-1ECB-4936-AD10-630D5B76247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EA9F77BA-8D78-41C8-9D8D-25F06A3611D9}"/>
    <cellStyle name="Normal 2 4 2 4 3 5 2 3" xfId="12715" xr:uid="{C05582E6-4516-4764-BA4F-F917BB0853DB}"/>
    <cellStyle name="Normal 2 4 2 4 3 5 3" xfId="6338" xr:uid="{00000000-0005-0000-0000-00006F0F0000}"/>
    <cellStyle name="Normal 2 4 2 4 3 5 3 2" xfId="14788" xr:uid="{A3AA798E-1203-434C-A547-C1D789ECD967}"/>
    <cellStyle name="Normal 2 4 2 4 3 5 4" xfId="10570" xr:uid="{1D626328-55BA-4312-8C1F-B1C91D59C149}"/>
    <cellStyle name="Normal 2 4 2 4 3 6" xfId="2468" xr:uid="{00000000-0005-0000-0000-0000700F0000}"/>
    <cellStyle name="Normal 2 4 2 4 3 6 2" xfId="6751" xr:uid="{00000000-0005-0000-0000-0000710F0000}"/>
    <cellStyle name="Normal 2 4 2 4 3 6 2 2" xfId="15201" xr:uid="{952AEA23-664B-4298-961F-C475CC5BC3C4}"/>
    <cellStyle name="Normal 2 4 2 4 3 6 3" xfId="10983" xr:uid="{1483EF6B-8EAB-471C-8272-EAD67D54B3DD}"/>
    <cellStyle name="Normal 2 4 2 4 3 7" xfId="4685" xr:uid="{00000000-0005-0000-0000-0000720F0000}"/>
    <cellStyle name="Normal 2 4 2 4 3 7 2" xfId="13135" xr:uid="{11BAFC66-5962-4EA3-834F-247EDA272300}"/>
    <cellStyle name="Normal 2 4 2 4 3 8" xfId="8917" xr:uid="{F92C9D10-70A4-43F2-970C-88F5D705B92E}"/>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C61F619A-659E-451D-80AC-6759DF1754ED}"/>
    <cellStyle name="Normal 2 4 2 4 4 2 3" xfId="11473" xr:uid="{2FE04996-906B-419D-85B5-CFA8C24D747C}"/>
    <cellStyle name="Normal 2 4 2 4 4 3" xfId="5096" xr:uid="{00000000-0005-0000-0000-0000760F0000}"/>
    <cellStyle name="Normal 2 4 2 4 4 3 2" xfId="13546" xr:uid="{0D04D5BF-92EA-4AE2-9998-0F461D9B7031}"/>
    <cellStyle name="Normal 2 4 2 4 4 4" xfId="9328" xr:uid="{07778EC7-A7D6-4D1F-A98A-0EE42D5B4943}"/>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E4235E19-3D0D-4375-AB97-1B617A445355}"/>
    <cellStyle name="Normal 2 4 2 4 5 2 3" xfId="11886" xr:uid="{A27DB727-A81D-44E0-994A-8C70D3712754}"/>
    <cellStyle name="Normal 2 4 2 4 5 3" xfId="5509" xr:uid="{00000000-0005-0000-0000-00007A0F0000}"/>
    <cellStyle name="Normal 2 4 2 4 5 3 2" xfId="13959" xr:uid="{82BBABD9-4742-45F8-83F1-6F2578CAF7EE}"/>
    <cellStyle name="Normal 2 4 2 4 5 4" xfId="9741" xr:uid="{752C487B-BE16-4C1B-A0F0-15141AEAFBA9}"/>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B7D7454E-1E50-49DE-92E4-B29B4736BFA1}"/>
    <cellStyle name="Normal 2 4 2 4 6 2 3" xfId="12299" xr:uid="{7763C769-365C-47B0-A7B7-3F561558119C}"/>
    <cellStyle name="Normal 2 4 2 4 6 3" xfId="5922" xr:uid="{00000000-0005-0000-0000-00007E0F0000}"/>
    <cellStyle name="Normal 2 4 2 4 6 3 2" xfId="14372" xr:uid="{30F787EC-1C0E-4B52-9F2E-BFC90657F61E}"/>
    <cellStyle name="Normal 2 4 2 4 6 4" xfId="10154" xr:uid="{2D2B938E-828D-4B97-83FF-71CE5300535D}"/>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4A331360-0431-41DA-9321-07C59B2EC1CC}"/>
    <cellStyle name="Normal 2 4 2 4 7 2 3" xfId="12712" xr:uid="{F85BE129-815F-4239-8EA6-DB421AFFE4A4}"/>
    <cellStyle name="Normal 2 4 2 4 7 3" xfId="6335" xr:uid="{00000000-0005-0000-0000-0000820F0000}"/>
    <cellStyle name="Normal 2 4 2 4 7 3 2" xfId="14785" xr:uid="{60DF9B03-4FAC-4262-ADC8-0B63AE5AEF4B}"/>
    <cellStyle name="Normal 2 4 2 4 7 4" xfId="10567" xr:uid="{165C460C-298A-4D34-BA2D-096D84ECF1BA}"/>
    <cellStyle name="Normal 2 4 2 4 8" xfId="2465" xr:uid="{00000000-0005-0000-0000-0000830F0000}"/>
    <cellStyle name="Normal 2 4 2 4 8 2" xfId="6748" xr:uid="{00000000-0005-0000-0000-0000840F0000}"/>
    <cellStyle name="Normal 2 4 2 4 8 2 2" xfId="15198" xr:uid="{48EAC1D8-A887-443A-A0CE-BEC1579A5D3A}"/>
    <cellStyle name="Normal 2 4 2 4 8 3" xfId="10980" xr:uid="{5F2D8B66-3979-4170-991D-EB77C4B79EC7}"/>
    <cellStyle name="Normal 2 4 2 4 9" xfId="4682" xr:uid="{00000000-0005-0000-0000-0000850F0000}"/>
    <cellStyle name="Normal 2 4 2 4 9 2" xfId="13132" xr:uid="{18442E1D-F479-49B8-A614-F4DD712BB02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879D33C6-5B23-4B2B-B562-BBFDECF9C469}"/>
    <cellStyle name="Normal 2 4 2 5 2 2 2 3" xfId="11478" xr:uid="{4DB6F990-8A1F-4D1F-8C0D-EED2F326ADC7}"/>
    <cellStyle name="Normal 2 4 2 5 2 2 3" xfId="5101" xr:uid="{00000000-0005-0000-0000-00008B0F0000}"/>
    <cellStyle name="Normal 2 4 2 5 2 2 3 2" xfId="13551" xr:uid="{7CAB7D4D-A159-44FB-9DEF-B6D02ACA9A0B}"/>
    <cellStyle name="Normal 2 4 2 5 2 2 4" xfId="9333" xr:uid="{3B0353AB-3D7C-4599-BE8B-F02F3E845EED}"/>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AB11CA1F-F883-423C-A2CD-B29AB1524E94}"/>
    <cellStyle name="Normal 2 4 2 5 2 3 2 3" xfId="11891" xr:uid="{1727E785-7408-421A-88DD-98BAAD20A65E}"/>
    <cellStyle name="Normal 2 4 2 5 2 3 3" xfId="5514" xr:uid="{00000000-0005-0000-0000-00008F0F0000}"/>
    <cellStyle name="Normal 2 4 2 5 2 3 3 2" xfId="13964" xr:uid="{0ACDC20A-C234-4794-9662-CD05E8B52366}"/>
    <cellStyle name="Normal 2 4 2 5 2 3 4" xfId="9746" xr:uid="{81BF60AD-1834-46C0-BA44-A39A9BD6447F}"/>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9A880F4F-723C-4075-AEC0-0913EF96E703}"/>
    <cellStyle name="Normal 2 4 2 5 2 4 2 3" xfId="12304" xr:uid="{CC5FEFD7-3E3B-4584-8593-C39AF21507F3}"/>
    <cellStyle name="Normal 2 4 2 5 2 4 3" xfId="5927" xr:uid="{00000000-0005-0000-0000-0000930F0000}"/>
    <cellStyle name="Normal 2 4 2 5 2 4 3 2" xfId="14377" xr:uid="{6F3A63EB-E6E2-42AF-8DA0-65AE16EAC674}"/>
    <cellStyle name="Normal 2 4 2 5 2 4 4" xfId="10159" xr:uid="{9AC53D6A-F1BB-4D26-B0B7-AE63DD2F30B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7B8A6216-F04D-41A9-9026-E11D6289CFA5}"/>
    <cellStyle name="Normal 2 4 2 5 2 5 2 3" xfId="12717" xr:uid="{A2145A95-66A6-4D9F-B2CE-F1DA09FAF9CA}"/>
    <cellStyle name="Normal 2 4 2 5 2 5 3" xfId="6340" xr:uid="{00000000-0005-0000-0000-0000970F0000}"/>
    <cellStyle name="Normal 2 4 2 5 2 5 3 2" xfId="14790" xr:uid="{7B9B0BFF-C626-4F7F-AA4E-E7E6921A8265}"/>
    <cellStyle name="Normal 2 4 2 5 2 5 4" xfId="10572" xr:uid="{19FF8539-4F0C-49F8-8744-F1FF9B958379}"/>
    <cellStyle name="Normal 2 4 2 5 2 6" xfId="2470" xr:uid="{00000000-0005-0000-0000-0000980F0000}"/>
    <cellStyle name="Normal 2 4 2 5 2 6 2" xfId="6753" xr:uid="{00000000-0005-0000-0000-0000990F0000}"/>
    <cellStyle name="Normal 2 4 2 5 2 6 2 2" xfId="15203" xr:uid="{3A6A34FD-64F7-4A8A-B540-6E3E8C4DAAC9}"/>
    <cellStyle name="Normal 2 4 2 5 2 6 3" xfId="10985" xr:uid="{39892EBF-035F-45D0-8317-CAF19D360C44}"/>
    <cellStyle name="Normal 2 4 2 5 2 7" xfId="4687" xr:uid="{00000000-0005-0000-0000-00009A0F0000}"/>
    <cellStyle name="Normal 2 4 2 5 2 7 2" xfId="13137" xr:uid="{4318D60C-6376-41F1-9839-8911E2F44929}"/>
    <cellStyle name="Normal 2 4 2 5 2 8" xfId="8919" xr:uid="{E27BD78B-7F98-45CD-8CB3-FC2D1BFA59CA}"/>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E235A9A2-A7D8-4371-87BF-968E8AC79975}"/>
    <cellStyle name="Normal 2 4 2 5 3 2 3" xfId="11477" xr:uid="{E5E56E3B-E85E-4EA0-827C-37410A970800}"/>
    <cellStyle name="Normal 2 4 2 5 3 3" xfId="5100" xr:uid="{00000000-0005-0000-0000-00009E0F0000}"/>
    <cellStyle name="Normal 2 4 2 5 3 3 2" xfId="13550" xr:uid="{19DFD2D1-E36E-48F6-B410-6537B4A70E2C}"/>
    <cellStyle name="Normal 2 4 2 5 3 4" xfId="9332" xr:uid="{004B506D-B856-470D-BCC2-0CCE3344DE78}"/>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14ADBFB8-2838-477F-9243-2D4A0FE25237}"/>
    <cellStyle name="Normal 2 4 2 5 4 2 3" xfId="11890" xr:uid="{ED8E00BE-6C9C-4C59-9506-D145986806B4}"/>
    <cellStyle name="Normal 2 4 2 5 4 3" xfId="5513" xr:uid="{00000000-0005-0000-0000-0000A20F0000}"/>
    <cellStyle name="Normal 2 4 2 5 4 3 2" xfId="13963" xr:uid="{93056079-E240-4895-AD34-8066F8353F3C}"/>
    <cellStyle name="Normal 2 4 2 5 4 4" xfId="9745" xr:uid="{2F4301D2-22EF-4205-AC61-ACDE45DA313F}"/>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3EC233A6-8120-46BB-8DD5-D88CBFC36C83}"/>
    <cellStyle name="Normal 2 4 2 5 5 2 3" xfId="12303" xr:uid="{2C7AE634-0EDD-44F8-9EA0-9704FC05F4B7}"/>
    <cellStyle name="Normal 2 4 2 5 5 3" xfId="5926" xr:uid="{00000000-0005-0000-0000-0000A60F0000}"/>
    <cellStyle name="Normal 2 4 2 5 5 3 2" xfId="14376" xr:uid="{85C014E3-45D0-4010-B8FB-B3CA56579DCF}"/>
    <cellStyle name="Normal 2 4 2 5 5 4" xfId="10158" xr:uid="{098609C6-A4BB-467D-B952-EB83B57BA8C4}"/>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919E2E1E-4F68-453C-9574-BF9B43ADC326}"/>
    <cellStyle name="Normal 2 4 2 5 6 2 3" xfId="12716" xr:uid="{3784EEC8-4477-4133-97D1-AE0CB4C2CA8E}"/>
    <cellStyle name="Normal 2 4 2 5 6 3" xfId="6339" xr:uid="{00000000-0005-0000-0000-0000AA0F0000}"/>
    <cellStyle name="Normal 2 4 2 5 6 3 2" xfId="14789" xr:uid="{E9D39F83-6229-4AE4-BA72-53FF523C1021}"/>
    <cellStyle name="Normal 2 4 2 5 6 4" xfId="10571" xr:uid="{FFCC5DB5-FA10-45E9-8C32-08EE55B380DC}"/>
    <cellStyle name="Normal 2 4 2 5 7" xfId="2469" xr:uid="{00000000-0005-0000-0000-0000AB0F0000}"/>
    <cellStyle name="Normal 2 4 2 5 7 2" xfId="6752" xr:uid="{00000000-0005-0000-0000-0000AC0F0000}"/>
    <cellStyle name="Normal 2 4 2 5 7 2 2" xfId="15202" xr:uid="{8B6D91F7-AF18-4363-A7D9-E42A4CE304FE}"/>
    <cellStyle name="Normal 2 4 2 5 7 3" xfId="10984" xr:uid="{C5A89447-0CF9-49EC-AE0E-1024EE99CFDE}"/>
    <cellStyle name="Normal 2 4 2 5 8" xfId="4686" xr:uid="{00000000-0005-0000-0000-0000AD0F0000}"/>
    <cellStyle name="Normal 2 4 2 5 8 2" xfId="13136" xr:uid="{8699F7D4-7635-4AC7-9CAC-CAB5E028C917}"/>
    <cellStyle name="Normal 2 4 2 5 9" xfId="8918" xr:uid="{CDC72AFD-A56B-43D6-AACC-CEEBF63CF69A}"/>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F67AB0BA-EA2F-4493-A342-57D847CD74D2}"/>
    <cellStyle name="Normal 2 4 2 6 2 2 3" xfId="11479" xr:uid="{9EB02436-931D-483D-8EBF-C9EA3B73C707}"/>
    <cellStyle name="Normal 2 4 2 6 2 3" xfId="5102" xr:uid="{00000000-0005-0000-0000-0000B20F0000}"/>
    <cellStyle name="Normal 2 4 2 6 2 3 2" xfId="13552" xr:uid="{3ACAD87A-46C6-40FE-97BD-03AD5B014121}"/>
    <cellStyle name="Normal 2 4 2 6 2 4" xfId="9334" xr:uid="{7670120C-0E33-4454-A27B-A183DB48E809}"/>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6B15F306-3FF3-436C-81A4-FB472683FC08}"/>
    <cellStyle name="Normal 2 4 2 6 3 2 3" xfId="11892" xr:uid="{2C141EDC-CF14-49A4-BCF0-EA653415B846}"/>
    <cellStyle name="Normal 2 4 2 6 3 3" xfId="5515" xr:uid="{00000000-0005-0000-0000-0000B60F0000}"/>
    <cellStyle name="Normal 2 4 2 6 3 3 2" xfId="13965" xr:uid="{4D286015-3606-46A0-8B94-E5348CC8B965}"/>
    <cellStyle name="Normal 2 4 2 6 3 4" xfId="9747" xr:uid="{BB4C4227-07C2-4953-B443-54550F2546FB}"/>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01234A00-CE17-4AB7-8710-DCD9F1D67479}"/>
    <cellStyle name="Normal 2 4 2 6 4 2 3" xfId="12305" xr:uid="{2ECA9C0A-126B-4722-A8D1-A49B40B21A01}"/>
    <cellStyle name="Normal 2 4 2 6 4 3" xfId="5928" xr:uid="{00000000-0005-0000-0000-0000BA0F0000}"/>
    <cellStyle name="Normal 2 4 2 6 4 3 2" xfId="14378" xr:uid="{611E5911-BF21-483B-A5DF-02286D5E11BC}"/>
    <cellStyle name="Normal 2 4 2 6 4 4" xfId="10160" xr:uid="{391E439A-A406-4913-B4A6-4B913B2310F1}"/>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6CC71556-741E-4B1E-9DD6-83E6DB081E50}"/>
    <cellStyle name="Normal 2 4 2 6 5 2 3" xfId="12718" xr:uid="{1F04F0A1-553A-4359-BA1B-6181993D4DC0}"/>
    <cellStyle name="Normal 2 4 2 6 5 3" xfId="6341" xr:uid="{00000000-0005-0000-0000-0000BE0F0000}"/>
    <cellStyle name="Normal 2 4 2 6 5 3 2" xfId="14791" xr:uid="{897464FB-AAF1-4896-AC00-39E5B665E2F4}"/>
    <cellStyle name="Normal 2 4 2 6 5 4" xfId="10573" xr:uid="{ED9EADF1-CD93-40FB-8061-84EF6891A544}"/>
    <cellStyle name="Normal 2 4 2 6 6" xfId="2471" xr:uid="{00000000-0005-0000-0000-0000BF0F0000}"/>
    <cellStyle name="Normal 2 4 2 6 6 2" xfId="6754" xr:uid="{00000000-0005-0000-0000-0000C00F0000}"/>
    <cellStyle name="Normal 2 4 2 6 6 2 2" xfId="15204" xr:uid="{00454EFE-9A0F-464B-8258-F01CC005C572}"/>
    <cellStyle name="Normal 2 4 2 6 6 3" xfId="10986" xr:uid="{1A67577E-8EA4-4F0E-B634-DB487C8A85FF}"/>
    <cellStyle name="Normal 2 4 2 6 7" xfId="4688" xr:uid="{00000000-0005-0000-0000-0000C10F0000}"/>
    <cellStyle name="Normal 2 4 2 6 7 2" xfId="13138" xr:uid="{FF15BE86-2CBD-444D-BE9F-520669EAC313}"/>
    <cellStyle name="Normal 2 4 2 6 8" xfId="8920" xr:uid="{C73BC1EC-EF68-443C-B5CB-2F6C900D4EDC}"/>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44DA4E61-08EA-468C-9FF3-7DE3CDF77D59}"/>
    <cellStyle name="Normal 2 4 2 7 2 3" xfId="11464" xr:uid="{C557B89E-2F39-49A5-AED8-155E476DB2A7}"/>
    <cellStyle name="Normal 2 4 2 7 3" xfId="5087" xr:uid="{00000000-0005-0000-0000-0000C50F0000}"/>
    <cellStyle name="Normal 2 4 2 7 3 2" xfId="13537" xr:uid="{731C5941-5D1C-49AC-BD22-D1A043B9ECE9}"/>
    <cellStyle name="Normal 2 4 2 7 4" xfId="9319" xr:uid="{2DB4DBB8-4753-4F79-B3C7-A392DDCBB73F}"/>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99744834-E059-4A8A-8A97-9B559E0CB9CB}"/>
    <cellStyle name="Normal 2 4 2 8 2 3" xfId="11877" xr:uid="{AE5D6E1C-2CDF-4033-B9BF-99E8C38A782A}"/>
    <cellStyle name="Normal 2 4 2 8 3" xfId="5500" xr:uid="{00000000-0005-0000-0000-0000C90F0000}"/>
    <cellStyle name="Normal 2 4 2 8 3 2" xfId="13950" xr:uid="{46B2C6DE-4534-4603-889D-420B313D7F91}"/>
    <cellStyle name="Normal 2 4 2 8 4" xfId="9732" xr:uid="{40F6C6BA-6263-44CC-A174-D3F2CFD9A0AA}"/>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ABA6A133-AFC2-4322-90E8-7B81CDB12F9B}"/>
    <cellStyle name="Normal 2 4 2 9 2 3" xfId="12290" xr:uid="{839012CD-3A70-4B34-9B1D-658866E5CC5A}"/>
    <cellStyle name="Normal 2 4 2 9 3" xfId="5913" xr:uid="{00000000-0005-0000-0000-0000CD0F0000}"/>
    <cellStyle name="Normal 2 4 2 9 3 2" xfId="14363" xr:uid="{13218B23-8102-4908-A7A3-56CA40B667AE}"/>
    <cellStyle name="Normal 2 4 2 9 4" xfId="10145" xr:uid="{897FA497-627A-4A7B-9005-91D72D270E8D}"/>
    <cellStyle name="Normal 2 4 3" xfId="296" xr:uid="{00000000-0005-0000-0000-0000CE0F0000}"/>
    <cellStyle name="Normal 2 4 3 10" xfId="8921" xr:uid="{EE8BBA7A-4015-4C52-87D3-9A6E74A40181}"/>
    <cellStyle name="Normal 2 4 3 2" xfId="297" xr:uid="{00000000-0005-0000-0000-0000CF0F0000}"/>
    <cellStyle name="Normal 2 4 3 3" xfId="298" xr:uid="{00000000-0005-0000-0000-0000D00F0000}"/>
    <cellStyle name="Normal 2 4 3 3 10" xfId="8922" xr:uid="{B44548D9-A4EC-41DE-9BBC-9C210A420A7C}"/>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E9059D07-754D-4914-BF61-D12637CA6A48}"/>
    <cellStyle name="Normal 2 4 3 3 2 2 2 2 3" xfId="11483" xr:uid="{4CB0F65E-056C-4523-9416-E6F7DC5769CB}"/>
    <cellStyle name="Normal 2 4 3 3 2 2 2 3" xfId="5106" xr:uid="{00000000-0005-0000-0000-0000D60F0000}"/>
    <cellStyle name="Normal 2 4 3 3 2 2 2 3 2" xfId="13556" xr:uid="{67D467A3-8629-4213-B34D-8D1934877D91}"/>
    <cellStyle name="Normal 2 4 3 3 2 2 2 4" xfId="9338" xr:uid="{95D59219-6976-41B6-8A84-183C66884BBD}"/>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DD2E0447-79EB-43CA-8030-A0837132454A}"/>
    <cellStyle name="Normal 2 4 3 3 2 2 3 2 3" xfId="11896" xr:uid="{E9CE131A-1A0A-49DA-AFBA-449E3788A3D6}"/>
    <cellStyle name="Normal 2 4 3 3 2 2 3 3" xfId="5519" xr:uid="{00000000-0005-0000-0000-0000DA0F0000}"/>
    <cellStyle name="Normal 2 4 3 3 2 2 3 3 2" xfId="13969" xr:uid="{B27042A8-EFB2-4A8C-A183-608DE352061E}"/>
    <cellStyle name="Normal 2 4 3 3 2 2 3 4" xfId="9751" xr:uid="{E47D2B97-F6EE-4E1C-882E-0BAF01C2F3DB}"/>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E2A082B8-DA94-45CD-BCD8-3CB1CEC4934D}"/>
    <cellStyle name="Normal 2 4 3 3 2 2 4 2 3" xfId="12309" xr:uid="{5CC731CB-3F02-4F51-8B52-CA50275D56D5}"/>
    <cellStyle name="Normal 2 4 3 3 2 2 4 3" xfId="5932" xr:uid="{00000000-0005-0000-0000-0000DE0F0000}"/>
    <cellStyle name="Normal 2 4 3 3 2 2 4 3 2" xfId="14382" xr:uid="{9E445EC0-482A-450B-BB84-8CA86F518117}"/>
    <cellStyle name="Normal 2 4 3 3 2 2 4 4" xfId="10164" xr:uid="{2D86042C-05BE-4901-AD07-B102CE80A60A}"/>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8ACE7C57-E2DC-4892-BA76-05DF3812B8AF}"/>
    <cellStyle name="Normal 2 4 3 3 2 2 5 2 3" xfId="12722" xr:uid="{11C5521C-2690-4963-A01D-CFB31FF3F1F4}"/>
    <cellStyle name="Normal 2 4 3 3 2 2 5 3" xfId="6345" xr:uid="{00000000-0005-0000-0000-0000E20F0000}"/>
    <cellStyle name="Normal 2 4 3 3 2 2 5 3 2" xfId="14795" xr:uid="{265261C9-6F35-456B-8FF9-E7FC970BD9D6}"/>
    <cellStyle name="Normal 2 4 3 3 2 2 5 4" xfId="10577" xr:uid="{0F6FFFE0-61CE-4ADD-B165-DA2FE2BE2F76}"/>
    <cellStyle name="Normal 2 4 3 3 2 2 6" xfId="2475" xr:uid="{00000000-0005-0000-0000-0000E30F0000}"/>
    <cellStyle name="Normal 2 4 3 3 2 2 6 2" xfId="6758" xr:uid="{00000000-0005-0000-0000-0000E40F0000}"/>
    <cellStyle name="Normal 2 4 3 3 2 2 6 2 2" xfId="15208" xr:uid="{16AEBF43-B163-4B26-9827-E4905EF317D0}"/>
    <cellStyle name="Normal 2 4 3 3 2 2 6 3" xfId="10990" xr:uid="{408FF453-89E0-4743-A739-CC330AC67606}"/>
    <cellStyle name="Normal 2 4 3 3 2 2 7" xfId="4692" xr:uid="{00000000-0005-0000-0000-0000E50F0000}"/>
    <cellStyle name="Normal 2 4 3 3 2 2 7 2" xfId="13142" xr:uid="{1FCD3565-BDA6-41C0-8BA3-939BB21B104A}"/>
    <cellStyle name="Normal 2 4 3 3 2 2 8" xfId="8924" xr:uid="{999960EB-432D-4708-8401-D74DD5903C02}"/>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B46B5413-971E-48A7-86A0-6F23C7E2068E}"/>
    <cellStyle name="Normal 2 4 3 3 2 3 2 3" xfId="11482" xr:uid="{B3B06576-66F3-4151-818C-CF90FF74513D}"/>
    <cellStyle name="Normal 2 4 3 3 2 3 3" xfId="5105" xr:uid="{00000000-0005-0000-0000-0000E90F0000}"/>
    <cellStyle name="Normal 2 4 3 3 2 3 3 2" xfId="13555" xr:uid="{4367A945-5F98-40E4-B833-5E7D0046A1F9}"/>
    <cellStyle name="Normal 2 4 3 3 2 3 4" xfId="9337" xr:uid="{58D42749-54F7-44DE-95E8-043851C9231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EF52D43F-2763-4881-8C99-468FDBFA9A0A}"/>
    <cellStyle name="Normal 2 4 3 3 2 4 2 3" xfId="11895" xr:uid="{D801D353-2018-4874-B22F-B9959716AEEF}"/>
    <cellStyle name="Normal 2 4 3 3 2 4 3" xfId="5518" xr:uid="{00000000-0005-0000-0000-0000ED0F0000}"/>
    <cellStyle name="Normal 2 4 3 3 2 4 3 2" xfId="13968" xr:uid="{111474D2-2E88-4FC4-829A-B92025144F10}"/>
    <cellStyle name="Normal 2 4 3 3 2 4 4" xfId="9750" xr:uid="{9A6569BF-2D35-4052-93FC-05284FEC943B}"/>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4CD63460-EA0E-4AE8-A606-F92CE930B30A}"/>
    <cellStyle name="Normal 2 4 3 3 2 5 2 3" xfId="12308" xr:uid="{F3403631-1F2E-413E-B224-EAAFB0CACB3C}"/>
    <cellStyle name="Normal 2 4 3 3 2 5 3" xfId="5931" xr:uid="{00000000-0005-0000-0000-0000F10F0000}"/>
    <cellStyle name="Normal 2 4 3 3 2 5 3 2" xfId="14381" xr:uid="{1EB9136E-FE50-4E00-B975-B3B1BE98D49F}"/>
    <cellStyle name="Normal 2 4 3 3 2 5 4" xfId="10163" xr:uid="{25C5AAC7-2E95-49AE-8CB4-72823685410F}"/>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D5F5D19E-D560-49D2-A4AA-C375A968A7AA}"/>
    <cellStyle name="Normal 2 4 3 3 2 6 2 3" xfId="12721" xr:uid="{84B2C627-04D1-45C8-A761-90596A1E5868}"/>
    <cellStyle name="Normal 2 4 3 3 2 6 3" xfId="6344" xr:uid="{00000000-0005-0000-0000-0000F50F0000}"/>
    <cellStyle name="Normal 2 4 3 3 2 6 3 2" xfId="14794" xr:uid="{ECDED52D-FC35-421E-B3E6-EB76A7E32C6D}"/>
    <cellStyle name="Normal 2 4 3 3 2 6 4" xfId="10576" xr:uid="{7BB195DC-9D45-487F-ADA7-A6DA6698F5A0}"/>
    <cellStyle name="Normal 2 4 3 3 2 7" xfId="2474" xr:uid="{00000000-0005-0000-0000-0000F60F0000}"/>
    <cellStyle name="Normal 2 4 3 3 2 7 2" xfId="6757" xr:uid="{00000000-0005-0000-0000-0000F70F0000}"/>
    <cellStyle name="Normal 2 4 3 3 2 7 2 2" xfId="15207" xr:uid="{B505DFAB-E37B-4229-8D32-6D039B18E471}"/>
    <cellStyle name="Normal 2 4 3 3 2 7 3" xfId="10989" xr:uid="{83F31C65-7617-404A-BA25-0DDD2CA555A4}"/>
    <cellStyle name="Normal 2 4 3 3 2 8" xfId="4691" xr:uid="{00000000-0005-0000-0000-0000F80F0000}"/>
    <cellStyle name="Normal 2 4 3 3 2 8 2" xfId="13141" xr:uid="{89163595-12D0-404A-A5B5-0BDE2688685E}"/>
    <cellStyle name="Normal 2 4 3 3 2 9" xfId="8923" xr:uid="{9426C364-CF18-4AD3-A36F-92C899D7A6BC}"/>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6A6BFCBA-7EEF-4792-BF67-CC71C5C42711}"/>
    <cellStyle name="Normal 2 4 3 3 3 2 2 3" xfId="11484" xr:uid="{3BEB8AD4-E8AB-4BB8-BA03-39A3E8320230}"/>
    <cellStyle name="Normal 2 4 3 3 3 2 3" xfId="5107" xr:uid="{00000000-0005-0000-0000-0000FD0F0000}"/>
    <cellStyle name="Normal 2 4 3 3 3 2 3 2" xfId="13557" xr:uid="{FED9FD89-4E64-489B-8640-5EBD05A8142A}"/>
    <cellStyle name="Normal 2 4 3 3 3 2 4" xfId="9339" xr:uid="{2BAA96A7-B90D-42BE-8A11-C6658E9AA8CD}"/>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D8184C3C-6419-4595-AFCD-17072E39B1D2}"/>
    <cellStyle name="Normal 2 4 3 3 3 3 2 3" xfId="11897" xr:uid="{C4C9DD4B-1CE3-45C1-A6E2-22BD8D1CE501}"/>
    <cellStyle name="Normal 2 4 3 3 3 3 3" xfId="5520" xr:uid="{00000000-0005-0000-0000-000001100000}"/>
    <cellStyle name="Normal 2 4 3 3 3 3 3 2" xfId="13970" xr:uid="{AB04D5D7-F964-4B75-896F-CC67F813FA5C}"/>
    <cellStyle name="Normal 2 4 3 3 3 3 4" xfId="9752" xr:uid="{9ABE217C-99C9-4009-9BD6-379F1BD3EB1C}"/>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9762D0C8-E1CF-4CD1-9BF2-A23D2AB29B79}"/>
    <cellStyle name="Normal 2 4 3 3 3 4 2 3" xfId="12310" xr:uid="{21D00A1B-2C56-4650-866E-3ABE7DDA7BD3}"/>
    <cellStyle name="Normal 2 4 3 3 3 4 3" xfId="5933" xr:uid="{00000000-0005-0000-0000-000005100000}"/>
    <cellStyle name="Normal 2 4 3 3 3 4 3 2" xfId="14383" xr:uid="{15D36515-86A3-422D-8E1A-62496F2378D2}"/>
    <cellStyle name="Normal 2 4 3 3 3 4 4" xfId="10165" xr:uid="{9D6D502F-1FB3-4FD4-9FBA-3501D13C15A1}"/>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5FFB6C10-F0E9-45F2-A45E-6C32EC931141}"/>
    <cellStyle name="Normal 2 4 3 3 3 5 2 3" xfId="12723" xr:uid="{9077131C-5861-4FBB-B885-397A685E60AD}"/>
    <cellStyle name="Normal 2 4 3 3 3 5 3" xfId="6346" xr:uid="{00000000-0005-0000-0000-000009100000}"/>
    <cellStyle name="Normal 2 4 3 3 3 5 3 2" xfId="14796" xr:uid="{8F96025E-4A18-456C-8339-098C978DDBCB}"/>
    <cellStyle name="Normal 2 4 3 3 3 5 4" xfId="10578" xr:uid="{E1DC42E1-B780-4081-9C3B-17926D9C8261}"/>
    <cellStyle name="Normal 2 4 3 3 3 6" xfId="2476" xr:uid="{00000000-0005-0000-0000-00000A100000}"/>
    <cellStyle name="Normal 2 4 3 3 3 6 2" xfId="6759" xr:uid="{00000000-0005-0000-0000-00000B100000}"/>
    <cellStyle name="Normal 2 4 3 3 3 6 2 2" xfId="15209" xr:uid="{3676B759-9967-405A-BF2B-D73EDB243958}"/>
    <cellStyle name="Normal 2 4 3 3 3 6 3" xfId="10991" xr:uid="{DD578068-52FC-4242-9A17-306CA32950F7}"/>
    <cellStyle name="Normal 2 4 3 3 3 7" xfId="4693" xr:uid="{00000000-0005-0000-0000-00000C100000}"/>
    <cellStyle name="Normal 2 4 3 3 3 7 2" xfId="13143" xr:uid="{5948AF9B-8E38-4FD8-93EF-49A1B0927B86}"/>
    <cellStyle name="Normal 2 4 3 3 3 8" xfId="8925" xr:uid="{25A75C24-CE0A-40C8-92BE-9AC1F3A286FC}"/>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9F714A55-0619-4756-96B5-86401AA05447}"/>
    <cellStyle name="Normal 2 4 3 3 4 2 3" xfId="11481" xr:uid="{5799AE91-F21F-4EF5-81BD-FA349DF84949}"/>
    <cellStyle name="Normal 2 4 3 3 4 3" xfId="5104" xr:uid="{00000000-0005-0000-0000-000010100000}"/>
    <cellStyle name="Normal 2 4 3 3 4 3 2" xfId="13554" xr:uid="{882F5F5A-8901-4293-A99C-D377B2008B73}"/>
    <cellStyle name="Normal 2 4 3 3 4 4" xfId="9336" xr:uid="{B49F0342-C566-4576-B608-551E8AD904F9}"/>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9FB198EF-D250-47CF-BF9F-1992123D9D9E}"/>
    <cellStyle name="Normal 2 4 3 3 5 2 3" xfId="11894" xr:uid="{666F0BDB-2EBB-4288-9A7A-DC98349DBAC8}"/>
    <cellStyle name="Normal 2 4 3 3 5 3" xfId="5517" xr:uid="{00000000-0005-0000-0000-000014100000}"/>
    <cellStyle name="Normal 2 4 3 3 5 3 2" xfId="13967" xr:uid="{FD52FB9A-BE3E-421E-ABAB-2B2DF9072589}"/>
    <cellStyle name="Normal 2 4 3 3 5 4" xfId="9749" xr:uid="{6DC786DF-4229-4047-8BBD-01DA5F5A9651}"/>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077BE6FB-0E71-4428-98A6-6EDE5900131E}"/>
    <cellStyle name="Normal 2 4 3 3 6 2 3" xfId="12307" xr:uid="{588D6DF9-4906-42FD-A271-F34B0A4153B0}"/>
    <cellStyle name="Normal 2 4 3 3 6 3" xfId="5930" xr:uid="{00000000-0005-0000-0000-000018100000}"/>
    <cellStyle name="Normal 2 4 3 3 6 3 2" xfId="14380" xr:uid="{46896B49-B681-40CD-85D2-5CE46EA897CD}"/>
    <cellStyle name="Normal 2 4 3 3 6 4" xfId="10162" xr:uid="{02DDD8D3-8460-443B-929E-E60E0788B335}"/>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AFEB12E4-3799-44B0-8AE1-A343D1459BD7}"/>
    <cellStyle name="Normal 2 4 3 3 7 2 3" xfId="12720" xr:uid="{FF903DE5-E1D4-4276-9D66-4F9ADE9E052D}"/>
    <cellStyle name="Normal 2 4 3 3 7 3" xfId="6343" xr:uid="{00000000-0005-0000-0000-00001C100000}"/>
    <cellStyle name="Normal 2 4 3 3 7 3 2" xfId="14793" xr:uid="{CC22C6C0-2330-41C1-BCF3-FC8A0A8662B9}"/>
    <cellStyle name="Normal 2 4 3 3 7 4" xfId="10575" xr:uid="{86E56ABC-8BF7-4C4A-8809-60083622DE6F}"/>
    <cellStyle name="Normal 2 4 3 3 8" xfId="2473" xr:uid="{00000000-0005-0000-0000-00001D100000}"/>
    <cellStyle name="Normal 2 4 3 3 8 2" xfId="6756" xr:uid="{00000000-0005-0000-0000-00001E100000}"/>
    <cellStyle name="Normal 2 4 3 3 8 2 2" xfId="15206" xr:uid="{E0CAF780-8742-4AFE-ABA1-E219335D8F32}"/>
    <cellStyle name="Normal 2 4 3 3 8 3" xfId="10988" xr:uid="{A78A95E7-D61C-44F8-96A8-3FB9C1947CD6}"/>
    <cellStyle name="Normal 2 4 3 3 9" xfId="4690" xr:uid="{00000000-0005-0000-0000-00001F100000}"/>
    <cellStyle name="Normal 2 4 3 3 9 2" xfId="13140" xr:uid="{DDEF8BFC-73C1-4058-9E6E-4761DF39E487}"/>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D56317D3-74DA-47B4-A269-62D0CF8E1C9E}"/>
    <cellStyle name="Normal 2 4 3 4 2 3" xfId="11480" xr:uid="{047756DC-8318-4D6C-A443-96E1AEC57780}"/>
    <cellStyle name="Normal 2 4 3 4 3" xfId="5103" xr:uid="{00000000-0005-0000-0000-000023100000}"/>
    <cellStyle name="Normal 2 4 3 4 3 2" xfId="13553" xr:uid="{6468B77E-1931-4CA8-B28D-AE2FB949E234}"/>
    <cellStyle name="Normal 2 4 3 4 4" xfId="9335" xr:uid="{C587ADCB-CC04-47F6-9D64-167DC09A911A}"/>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A46EDDCD-FDED-4D6B-AD6C-50424C38BF75}"/>
    <cellStyle name="Normal 2 4 3 5 2 3" xfId="11893" xr:uid="{48652879-82C9-4113-97A9-020A0F3F31EB}"/>
    <cellStyle name="Normal 2 4 3 5 3" xfId="5516" xr:uid="{00000000-0005-0000-0000-000027100000}"/>
    <cellStyle name="Normal 2 4 3 5 3 2" xfId="13966" xr:uid="{3CB17F42-1DF5-4C95-BF09-15A5CD451803}"/>
    <cellStyle name="Normal 2 4 3 5 4" xfId="9748" xr:uid="{F612A6EE-FEDF-4363-ADC6-C81E5BEBE5BA}"/>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2E17D308-1D39-4131-B41E-B6F3E0EAF606}"/>
    <cellStyle name="Normal 2 4 3 6 2 3" xfId="12306" xr:uid="{C3C45B92-492C-4908-8DEC-F38CCF4B6595}"/>
    <cellStyle name="Normal 2 4 3 6 3" xfId="5929" xr:uid="{00000000-0005-0000-0000-00002B100000}"/>
    <cellStyle name="Normal 2 4 3 6 3 2" xfId="14379" xr:uid="{20CE1428-CAFA-4980-95FC-F3917ACB37B4}"/>
    <cellStyle name="Normal 2 4 3 6 4" xfId="10161" xr:uid="{641CB8D8-3963-4987-AC2F-16495B17C29C}"/>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70F7CBFF-4A38-40EC-AAA0-D1F626EB036E}"/>
    <cellStyle name="Normal 2 4 3 7 2 3" xfId="12719" xr:uid="{8EA978C8-8681-4CFF-BD78-1ADABC343EA7}"/>
    <cellStyle name="Normal 2 4 3 7 3" xfId="6342" xr:uid="{00000000-0005-0000-0000-00002F100000}"/>
    <cellStyle name="Normal 2 4 3 7 3 2" xfId="14792" xr:uid="{389BB2F8-7D59-4D54-9974-F04BFD556BBD}"/>
    <cellStyle name="Normal 2 4 3 7 4" xfId="10574" xr:uid="{09EA6734-15F9-4956-B6A6-D01CB1BD646C}"/>
    <cellStyle name="Normal 2 4 3 8" xfId="2472" xr:uid="{00000000-0005-0000-0000-000030100000}"/>
    <cellStyle name="Normal 2 4 3 8 2" xfId="6755" xr:uid="{00000000-0005-0000-0000-000031100000}"/>
    <cellStyle name="Normal 2 4 3 8 2 2" xfId="15205" xr:uid="{7A51FAC6-04A0-466B-8DCC-6F93AA7C9106}"/>
    <cellStyle name="Normal 2 4 3 8 3" xfId="10987" xr:uid="{70CC9A9B-E856-4671-A47C-FB35AF6A2097}"/>
    <cellStyle name="Normal 2 4 3 9" xfId="4689" xr:uid="{00000000-0005-0000-0000-000032100000}"/>
    <cellStyle name="Normal 2 4 3 9 2" xfId="13139" xr:uid="{86C0C0C3-A4DF-4E7C-9870-B8274D85624C}"/>
    <cellStyle name="Normal 2 4 4" xfId="302" xr:uid="{00000000-0005-0000-0000-000033100000}"/>
    <cellStyle name="Normal 2 4 5" xfId="303" xr:uid="{00000000-0005-0000-0000-000034100000}"/>
    <cellStyle name="Normal 2 4 5 10" xfId="4694" xr:uid="{00000000-0005-0000-0000-000035100000}"/>
    <cellStyle name="Normal 2 4 5 10 2" xfId="13144" xr:uid="{C9BE1622-2B16-4B2F-9AFA-8E2CEAF2EF00}"/>
    <cellStyle name="Normal 2 4 5 11" xfId="8926" xr:uid="{05E7E8D1-5D80-465A-A5CA-3185A151950D}"/>
    <cellStyle name="Normal 2 4 5 2" xfId="304" xr:uid="{00000000-0005-0000-0000-000036100000}"/>
    <cellStyle name="Normal 2 4 5 2 10" xfId="8927" xr:uid="{D533447A-E3FA-4FFF-ABAB-557D4D35DD95}"/>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2D5C2F14-D972-475F-A1B2-1E14AB3737C3}"/>
    <cellStyle name="Normal 2 4 5 2 2 2 2 2 3" xfId="11488" xr:uid="{C11D3621-A861-4592-B357-F45BD109FE9D}"/>
    <cellStyle name="Normal 2 4 5 2 2 2 2 3" xfId="5111" xr:uid="{00000000-0005-0000-0000-00003C100000}"/>
    <cellStyle name="Normal 2 4 5 2 2 2 2 3 2" xfId="13561" xr:uid="{B005B41D-7B03-40B0-A881-961FAAB3E1FB}"/>
    <cellStyle name="Normal 2 4 5 2 2 2 2 4" xfId="9343" xr:uid="{BE1EB183-DB95-4962-B6BD-18FB4EE855DA}"/>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E719C8DF-E010-439D-8BF8-2D339B986164}"/>
    <cellStyle name="Normal 2 4 5 2 2 2 3 2 3" xfId="11901" xr:uid="{C5DC6959-8EF0-4319-A137-705658B47F04}"/>
    <cellStyle name="Normal 2 4 5 2 2 2 3 3" xfId="5524" xr:uid="{00000000-0005-0000-0000-000040100000}"/>
    <cellStyle name="Normal 2 4 5 2 2 2 3 3 2" xfId="13974" xr:uid="{F2ABBC7D-04D2-4996-A511-E612A023B8D2}"/>
    <cellStyle name="Normal 2 4 5 2 2 2 3 4" xfId="9756" xr:uid="{83E464D8-D2C5-458C-A3BD-AFEF25BD7C39}"/>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DF1F03A9-087E-44D3-9DD3-9AF103443D72}"/>
    <cellStyle name="Normal 2 4 5 2 2 2 4 2 3" xfId="12314" xr:uid="{DE0ECB9F-6E15-430E-B98B-F56B2775745F}"/>
    <cellStyle name="Normal 2 4 5 2 2 2 4 3" xfId="5937" xr:uid="{00000000-0005-0000-0000-000044100000}"/>
    <cellStyle name="Normal 2 4 5 2 2 2 4 3 2" xfId="14387" xr:uid="{D5944A1C-F9EC-4CA1-AD62-27F0B2871060}"/>
    <cellStyle name="Normal 2 4 5 2 2 2 4 4" xfId="10169" xr:uid="{597299E8-EBC5-4E02-9379-D3C9EED9A4F6}"/>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240DF506-DAC5-4C56-A17F-039343DE3B7C}"/>
    <cellStyle name="Normal 2 4 5 2 2 2 5 2 3" xfId="12727" xr:uid="{824BA1BA-0A64-4E30-ABBD-DD84A218ABC4}"/>
    <cellStyle name="Normal 2 4 5 2 2 2 5 3" xfId="6350" xr:uid="{00000000-0005-0000-0000-000048100000}"/>
    <cellStyle name="Normal 2 4 5 2 2 2 5 3 2" xfId="14800" xr:uid="{65611366-0A9B-4EBE-A163-309ED270B383}"/>
    <cellStyle name="Normal 2 4 5 2 2 2 5 4" xfId="10582" xr:uid="{1FCDA91E-9CBD-495B-9D0B-38A45B293074}"/>
    <cellStyle name="Normal 2 4 5 2 2 2 6" xfId="2480" xr:uid="{00000000-0005-0000-0000-000049100000}"/>
    <cellStyle name="Normal 2 4 5 2 2 2 6 2" xfId="6763" xr:uid="{00000000-0005-0000-0000-00004A100000}"/>
    <cellStyle name="Normal 2 4 5 2 2 2 6 2 2" xfId="15213" xr:uid="{379A76B6-9D85-4121-BCA6-0D00DE22848A}"/>
    <cellStyle name="Normal 2 4 5 2 2 2 6 3" xfId="10995" xr:uid="{158A75F7-564F-4796-B494-5ACDAC9A5F33}"/>
    <cellStyle name="Normal 2 4 5 2 2 2 7" xfId="4697" xr:uid="{00000000-0005-0000-0000-00004B100000}"/>
    <cellStyle name="Normal 2 4 5 2 2 2 7 2" xfId="13147" xr:uid="{B605181B-B87C-47D3-A2AA-DC45ADA415C8}"/>
    <cellStyle name="Normal 2 4 5 2 2 2 8" xfId="8929" xr:uid="{67194545-E76B-47C5-9563-2610422AB5DA}"/>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E4CD5A3F-D438-4888-A745-B75292BE2EE9}"/>
    <cellStyle name="Normal 2 4 5 2 2 3 2 3" xfId="11487" xr:uid="{77E73624-09A4-4DE5-A6EA-B76EFB8490D1}"/>
    <cellStyle name="Normal 2 4 5 2 2 3 3" xfId="5110" xr:uid="{00000000-0005-0000-0000-00004F100000}"/>
    <cellStyle name="Normal 2 4 5 2 2 3 3 2" xfId="13560" xr:uid="{97AF13B6-273B-4459-93ED-85BE2F2BDB69}"/>
    <cellStyle name="Normal 2 4 5 2 2 3 4" xfId="9342" xr:uid="{A115A3C7-BC23-40A8-ADC1-E9E705C1277C}"/>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D2BC44B3-FD4F-499F-9825-C580E9A1F8EA}"/>
    <cellStyle name="Normal 2 4 5 2 2 4 2 3" xfId="11900" xr:uid="{5FF806A6-EBCF-4FEE-8ECC-EBEE99D9D467}"/>
    <cellStyle name="Normal 2 4 5 2 2 4 3" xfId="5523" xr:uid="{00000000-0005-0000-0000-000053100000}"/>
    <cellStyle name="Normal 2 4 5 2 2 4 3 2" xfId="13973" xr:uid="{1D234BF2-1205-4645-B665-97448C4C2493}"/>
    <cellStyle name="Normal 2 4 5 2 2 4 4" xfId="9755" xr:uid="{B2D4C877-74C0-4BFA-AAD1-02F6E09A9F27}"/>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CD7C09E0-4F0D-43A7-BB60-992A0112A645}"/>
    <cellStyle name="Normal 2 4 5 2 2 5 2 3" xfId="12313" xr:uid="{4DF8F9DA-E11A-4546-B9BF-85A33E92FCC4}"/>
    <cellStyle name="Normal 2 4 5 2 2 5 3" xfId="5936" xr:uid="{00000000-0005-0000-0000-000057100000}"/>
    <cellStyle name="Normal 2 4 5 2 2 5 3 2" xfId="14386" xr:uid="{7491C503-C9BE-4A3D-B4B4-3E233E7BA838}"/>
    <cellStyle name="Normal 2 4 5 2 2 5 4" xfId="10168" xr:uid="{13991D73-4FC0-400C-8AD4-045AF921E685}"/>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D98C5FA7-7B46-449B-97DC-7ED30992A41F}"/>
    <cellStyle name="Normal 2 4 5 2 2 6 2 3" xfId="12726" xr:uid="{DDD51C1D-25DA-4466-BE2B-111720A77A4D}"/>
    <cellStyle name="Normal 2 4 5 2 2 6 3" xfId="6349" xr:uid="{00000000-0005-0000-0000-00005B100000}"/>
    <cellStyle name="Normal 2 4 5 2 2 6 3 2" xfId="14799" xr:uid="{657240B9-277C-4F83-B914-4144165F206A}"/>
    <cellStyle name="Normal 2 4 5 2 2 6 4" xfId="10581" xr:uid="{B6E1478D-CDD5-4185-B147-4BAD86ABEF8B}"/>
    <cellStyle name="Normal 2 4 5 2 2 7" xfId="2479" xr:uid="{00000000-0005-0000-0000-00005C100000}"/>
    <cellStyle name="Normal 2 4 5 2 2 7 2" xfId="6762" xr:uid="{00000000-0005-0000-0000-00005D100000}"/>
    <cellStyle name="Normal 2 4 5 2 2 7 2 2" xfId="15212" xr:uid="{08E778DC-593A-456E-A8C7-05D2EC630052}"/>
    <cellStyle name="Normal 2 4 5 2 2 7 3" xfId="10994" xr:uid="{03407FDC-6145-4775-A975-B234114F7EE1}"/>
    <cellStyle name="Normal 2 4 5 2 2 8" xfId="4696" xr:uid="{00000000-0005-0000-0000-00005E100000}"/>
    <cellStyle name="Normal 2 4 5 2 2 8 2" xfId="13146" xr:uid="{A4B62A17-3DB9-4882-A47A-D7C101560E72}"/>
    <cellStyle name="Normal 2 4 5 2 2 9" xfId="8928" xr:uid="{51D0A787-DED4-42F3-B5C9-7F058776A4EB}"/>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BA8A1A4B-D0F0-4B94-891E-292A55D3A8AB}"/>
    <cellStyle name="Normal 2 4 5 2 3 2 2 3" xfId="11489" xr:uid="{BB92510A-CCB3-42A8-82C6-579086F5B369}"/>
    <cellStyle name="Normal 2 4 5 2 3 2 3" xfId="5112" xr:uid="{00000000-0005-0000-0000-000063100000}"/>
    <cellStyle name="Normal 2 4 5 2 3 2 3 2" xfId="13562" xr:uid="{255CB14F-88A1-4F97-A8B9-67BFD229B68C}"/>
    <cellStyle name="Normal 2 4 5 2 3 2 4" xfId="9344" xr:uid="{86A01A5A-90FF-4ECE-A2D1-B887209765AD}"/>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C31F319E-7219-4FD6-8B15-D81AE0756F40}"/>
    <cellStyle name="Normal 2 4 5 2 3 3 2 3" xfId="11902" xr:uid="{F6B3A9FD-20FC-4F52-8553-4053294DDF10}"/>
    <cellStyle name="Normal 2 4 5 2 3 3 3" xfId="5525" xr:uid="{00000000-0005-0000-0000-000067100000}"/>
    <cellStyle name="Normal 2 4 5 2 3 3 3 2" xfId="13975" xr:uid="{D91E4F38-EE3E-4738-B1FF-7F1B76FDEFC3}"/>
    <cellStyle name="Normal 2 4 5 2 3 3 4" xfId="9757" xr:uid="{4BDF90C6-16F1-4FFF-AC38-0D36EDD1946D}"/>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A2525CAC-E5BE-47C5-8E6E-00B6A2DB2B90}"/>
    <cellStyle name="Normal 2 4 5 2 3 4 2 3" xfId="12315" xr:uid="{3ECA98C4-1DC3-4039-ACE8-BB46F26EA095}"/>
    <cellStyle name="Normal 2 4 5 2 3 4 3" xfId="5938" xr:uid="{00000000-0005-0000-0000-00006B100000}"/>
    <cellStyle name="Normal 2 4 5 2 3 4 3 2" xfId="14388" xr:uid="{ABD49F6A-4652-4F54-857A-671072D96DC4}"/>
    <cellStyle name="Normal 2 4 5 2 3 4 4" xfId="10170" xr:uid="{ADD28250-CFCC-4D52-9E34-192BDD83EC28}"/>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779EBF28-F2C1-4584-88F8-B8596E51359A}"/>
    <cellStyle name="Normal 2 4 5 2 3 5 2 3" xfId="12728" xr:uid="{A12337A9-E19B-4177-8A56-28CF459F9E84}"/>
    <cellStyle name="Normal 2 4 5 2 3 5 3" xfId="6351" xr:uid="{00000000-0005-0000-0000-00006F100000}"/>
    <cellStyle name="Normal 2 4 5 2 3 5 3 2" xfId="14801" xr:uid="{4F45C0F9-B5A0-498B-B547-AEC9C3BA92A5}"/>
    <cellStyle name="Normal 2 4 5 2 3 5 4" xfId="10583" xr:uid="{EDA4EC99-B53B-4BA9-A9D3-895FD513DA85}"/>
    <cellStyle name="Normal 2 4 5 2 3 6" xfId="2481" xr:uid="{00000000-0005-0000-0000-000070100000}"/>
    <cellStyle name="Normal 2 4 5 2 3 6 2" xfId="6764" xr:uid="{00000000-0005-0000-0000-000071100000}"/>
    <cellStyle name="Normal 2 4 5 2 3 6 2 2" xfId="15214" xr:uid="{0E1CBC48-65C6-4CC4-98E1-0011E35B55DE}"/>
    <cellStyle name="Normal 2 4 5 2 3 6 3" xfId="10996" xr:uid="{EE32E63C-A524-4CCE-B3F4-64780EA7001C}"/>
    <cellStyle name="Normal 2 4 5 2 3 7" xfId="4698" xr:uid="{00000000-0005-0000-0000-000072100000}"/>
    <cellStyle name="Normal 2 4 5 2 3 7 2" xfId="13148" xr:uid="{28904BF5-6140-4925-A122-F347C47D5226}"/>
    <cellStyle name="Normal 2 4 5 2 3 8" xfId="8930" xr:uid="{866E010E-AAF9-4A9E-82F4-05B7643939CE}"/>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798FF7B1-E9B0-4DA0-BCEE-5274435E46ED}"/>
    <cellStyle name="Normal 2 4 5 2 4 2 3" xfId="11486" xr:uid="{3B52C2ED-DBE9-442D-AE95-C172FB689203}"/>
    <cellStyle name="Normal 2 4 5 2 4 3" xfId="5109" xr:uid="{00000000-0005-0000-0000-000076100000}"/>
    <cellStyle name="Normal 2 4 5 2 4 3 2" xfId="13559" xr:uid="{78A078D5-FBD9-497B-8873-9F1767C2A325}"/>
    <cellStyle name="Normal 2 4 5 2 4 4" xfId="9341" xr:uid="{672F865F-A547-4B2A-9BE4-02380F21862E}"/>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B77800B8-5009-4B2A-854B-F0F4C0374E5F}"/>
    <cellStyle name="Normal 2 4 5 2 5 2 3" xfId="11899" xr:uid="{B0450BCD-251C-4C02-9649-D9CF0557BFD0}"/>
    <cellStyle name="Normal 2 4 5 2 5 3" xfId="5522" xr:uid="{00000000-0005-0000-0000-00007A100000}"/>
    <cellStyle name="Normal 2 4 5 2 5 3 2" xfId="13972" xr:uid="{5018BCAD-A602-4E84-902D-201E7401B734}"/>
    <cellStyle name="Normal 2 4 5 2 5 4" xfId="9754" xr:uid="{4FA5534C-F4FD-42B9-9230-797851154823}"/>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5CA1BA40-91B2-4167-9FD6-DE96E6EE0356}"/>
    <cellStyle name="Normal 2 4 5 2 6 2 3" xfId="12312" xr:uid="{7165EDA1-B508-468D-9726-5AC1CFF3FF59}"/>
    <cellStyle name="Normal 2 4 5 2 6 3" xfId="5935" xr:uid="{00000000-0005-0000-0000-00007E100000}"/>
    <cellStyle name="Normal 2 4 5 2 6 3 2" xfId="14385" xr:uid="{70135E3B-ECDE-48D2-89A7-B15BA79FBE4A}"/>
    <cellStyle name="Normal 2 4 5 2 6 4" xfId="10167" xr:uid="{1FF4478C-4511-4B9A-B3BD-F33C7FA64552}"/>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502489BE-DD8E-4F07-95A0-866F7FA8D217}"/>
    <cellStyle name="Normal 2 4 5 2 7 2 3" xfId="12725" xr:uid="{DAB3DF47-978C-49CF-8524-10619F66AEEA}"/>
    <cellStyle name="Normal 2 4 5 2 7 3" xfId="6348" xr:uid="{00000000-0005-0000-0000-000082100000}"/>
    <cellStyle name="Normal 2 4 5 2 7 3 2" xfId="14798" xr:uid="{B3EB0B4B-D743-40ED-9FAE-02DA31DA5A4F}"/>
    <cellStyle name="Normal 2 4 5 2 7 4" xfId="10580" xr:uid="{69550CA0-E9B2-46E4-8329-4DA3934FEC0D}"/>
    <cellStyle name="Normal 2 4 5 2 8" xfId="2478" xr:uid="{00000000-0005-0000-0000-000083100000}"/>
    <cellStyle name="Normal 2 4 5 2 8 2" xfId="6761" xr:uid="{00000000-0005-0000-0000-000084100000}"/>
    <cellStyle name="Normal 2 4 5 2 8 2 2" xfId="15211" xr:uid="{59744887-7D9F-4E42-9E47-C93D2E8EE75F}"/>
    <cellStyle name="Normal 2 4 5 2 8 3" xfId="10993" xr:uid="{C3CFE012-659A-48B2-976E-9C4B34E6A992}"/>
    <cellStyle name="Normal 2 4 5 2 9" xfId="4695" xr:uid="{00000000-0005-0000-0000-000085100000}"/>
    <cellStyle name="Normal 2 4 5 2 9 2" xfId="13145" xr:uid="{ED4E3531-DB4D-478C-B15B-A79D1107F9E8}"/>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48BB8CDA-36CA-4F12-A153-9DE6D7F53AFE}"/>
    <cellStyle name="Normal 2 4 5 3 2 2 2 3" xfId="11491" xr:uid="{4709ECB5-B12B-4583-A91C-763C210BD561}"/>
    <cellStyle name="Normal 2 4 5 3 2 2 3" xfId="5114" xr:uid="{00000000-0005-0000-0000-00008B100000}"/>
    <cellStyle name="Normal 2 4 5 3 2 2 3 2" xfId="13564" xr:uid="{957669F5-CBE6-4AFB-B247-D474030AF7A4}"/>
    <cellStyle name="Normal 2 4 5 3 2 2 4" xfId="9346" xr:uid="{B92B4F93-AF59-458D-B828-AACBDB023973}"/>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0436EAD7-12D4-4D30-9841-CB9FF8AAA39F}"/>
    <cellStyle name="Normal 2 4 5 3 2 3 2 3" xfId="11904" xr:uid="{20D7E48A-933C-4EBE-AF98-2A19E92F3D53}"/>
    <cellStyle name="Normal 2 4 5 3 2 3 3" xfId="5527" xr:uid="{00000000-0005-0000-0000-00008F100000}"/>
    <cellStyle name="Normal 2 4 5 3 2 3 3 2" xfId="13977" xr:uid="{6AFE11C2-9A02-4E7B-822E-EF0AD172300E}"/>
    <cellStyle name="Normal 2 4 5 3 2 3 4" xfId="9759" xr:uid="{E808171F-D579-4B41-9D1E-F5EDA10957F4}"/>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032340AA-E20C-4735-9870-3C6A7C3AEB62}"/>
    <cellStyle name="Normal 2 4 5 3 2 4 2 3" xfId="12317" xr:uid="{DFFA38AB-5F3A-44B0-A8C4-9CE00E3FEA58}"/>
    <cellStyle name="Normal 2 4 5 3 2 4 3" xfId="5940" xr:uid="{00000000-0005-0000-0000-000093100000}"/>
    <cellStyle name="Normal 2 4 5 3 2 4 3 2" xfId="14390" xr:uid="{517F7694-01A2-4940-A58A-EAD95BFB1C23}"/>
    <cellStyle name="Normal 2 4 5 3 2 4 4" xfId="10172" xr:uid="{E1BE8D6E-B916-4964-97ED-031166C88259}"/>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49E1B500-76A0-4940-9F58-7AD60C307CA5}"/>
    <cellStyle name="Normal 2 4 5 3 2 5 2 3" xfId="12730" xr:uid="{05E51682-594B-410D-86B5-61FDDDE3A70F}"/>
    <cellStyle name="Normal 2 4 5 3 2 5 3" xfId="6353" xr:uid="{00000000-0005-0000-0000-000097100000}"/>
    <cellStyle name="Normal 2 4 5 3 2 5 3 2" xfId="14803" xr:uid="{8C58C807-1324-4AB5-AAC0-B374C785AD21}"/>
    <cellStyle name="Normal 2 4 5 3 2 5 4" xfId="10585" xr:uid="{DB43B675-7263-4372-8EAF-7F6708EDDA92}"/>
    <cellStyle name="Normal 2 4 5 3 2 6" xfId="2483" xr:uid="{00000000-0005-0000-0000-000098100000}"/>
    <cellStyle name="Normal 2 4 5 3 2 6 2" xfId="6766" xr:uid="{00000000-0005-0000-0000-000099100000}"/>
    <cellStyle name="Normal 2 4 5 3 2 6 2 2" xfId="15216" xr:uid="{23F03E83-BBF3-4B18-909E-FED53EF20D77}"/>
    <cellStyle name="Normal 2 4 5 3 2 6 3" xfId="10998" xr:uid="{EDB53CCE-A542-4007-877E-1E9CB3FFBFA5}"/>
    <cellStyle name="Normal 2 4 5 3 2 7" xfId="4700" xr:uid="{00000000-0005-0000-0000-00009A100000}"/>
    <cellStyle name="Normal 2 4 5 3 2 7 2" xfId="13150" xr:uid="{650AA746-F55A-402A-B4F8-897C8C85C798}"/>
    <cellStyle name="Normal 2 4 5 3 2 8" xfId="8932" xr:uid="{6C0E0B01-7BB6-420B-908A-8CB18B67884C}"/>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90823CF9-A516-467D-8445-C47004089247}"/>
    <cellStyle name="Normal 2 4 5 3 3 2 3" xfId="11490" xr:uid="{FABFD5E2-8C08-44C3-A061-699B793C3834}"/>
    <cellStyle name="Normal 2 4 5 3 3 3" xfId="5113" xr:uid="{00000000-0005-0000-0000-00009E100000}"/>
    <cellStyle name="Normal 2 4 5 3 3 3 2" xfId="13563" xr:uid="{83B70D56-6451-46C5-AE22-52554A0D452A}"/>
    <cellStyle name="Normal 2 4 5 3 3 4" xfId="9345" xr:uid="{D1AFD94C-AD95-4D09-8F1E-22AA7F6974F3}"/>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45FA205B-D6F5-4F53-8F1C-F30CDD8A204A}"/>
    <cellStyle name="Normal 2 4 5 3 4 2 3" xfId="11903" xr:uid="{FBAF412C-F742-4F9C-A597-E798BE8750D1}"/>
    <cellStyle name="Normal 2 4 5 3 4 3" xfId="5526" xr:uid="{00000000-0005-0000-0000-0000A2100000}"/>
    <cellStyle name="Normal 2 4 5 3 4 3 2" xfId="13976" xr:uid="{E23B6824-2189-408D-A82F-8480C6379245}"/>
    <cellStyle name="Normal 2 4 5 3 4 4" xfId="9758" xr:uid="{A6457C23-A49F-4EF8-9E17-4CA0ADC1C444}"/>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A8179D2C-B250-43E1-8C4B-C2C0E2B0F76A}"/>
    <cellStyle name="Normal 2 4 5 3 5 2 3" xfId="12316" xr:uid="{E76DD4EB-3C73-4723-B700-53015E7AF340}"/>
    <cellStyle name="Normal 2 4 5 3 5 3" xfId="5939" xr:uid="{00000000-0005-0000-0000-0000A6100000}"/>
    <cellStyle name="Normal 2 4 5 3 5 3 2" xfId="14389" xr:uid="{F01779BA-CBCE-4D68-B814-F794AC0C90EF}"/>
    <cellStyle name="Normal 2 4 5 3 5 4" xfId="10171" xr:uid="{BE8B4822-5F7F-42BF-9509-DE00B95C991A}"/>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2136B1ED-1A95-4931-9DEA-E5D15CEDBA56}"/>
    <cellStyle name="Normal 2 4 5 3 6 2 3" xfId="12729" xr:uid="{C117A4B8-1E9B-457C-B110-FD814B9048CE}"/>
    <cellStyle name="Normal 2 4 5 3 6 3" xfId="6352" xr:uid="{00000000-0005-0000-0000-0000AA100000}"/>
    <cellStyle name="Normal 2 4 5 3 6 3 2" xfId="14802" xr:uid="{E00BD233-2DB7-4290-869F-F00B9A310DD0}"/>
    <cellStyle name="Normal 2 4 5 3 6 4" xfId="10584" xr:uid="{18D27DEE-3F34-420D-AB03-488CAB6BF2C8}"/>
    <cellStyle name="Normal 2 4 5 3 7" xfId="2482" xr:uid="{00000000-0005-0000-0000-0000AB100000}"/>
    <cellStyle name="Normal 2 4 5 3 7 2" xfId="6765" xr:uid="{00000000-0005-0000-0000-0000AC100000}"/>
    <cellStyle name="Normal 2 4 5 3 7 2 2" xfId="15215" xr:uid="{EFC4E88D-B9F8-4E5F-AE2D-031FC3EDADC5}"/>
    <cellStyle name="Normal 2 4 5 3 7 3" xfId="10997" xr:uid="{C34D8911-33FB-4078-B5F7-3BF35E3C5CEA}"/>
    <cellStyle name="Normal 2 4 5 3 8" xfId="4699" xr:uid="{00000000-0005-0000-0000-0000AD100000}"/>
    <cellStyle name="Normal 2 4 5 3 8 2" xfId="13149" xr:uid="{AF840804-CFD7-4E52-9A1D-BA672BF8D357}"/>
    <cellStyle name="Normal 2 4 5 3 9" xfId="8931" xr:uid="{ABA1357A-5144-4D88-A664-61656FCCFD1F}"/>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A19752C1-8C22-421F-98B4-19B0D8C2BC76}"/>
    <cellStyle name="Normal 2 4 5 4 2 2 3" xfId="11492" xr:uid="{4188784E-E56F-47D5-8E88-B49B77F0B0F2}"/>
    <cellStyle name="Normal 2 4 5 4 2 3" xfId="5115" xr:uid="{00000000-0005-0000-0000-0000B2100000}"/>
    <cellStyle name="Normal 2 4 5 4 2 3 2" xfId="13565" xr:uid="{609C6A4A-E12F-456C-B25D-D9BBF7DC0EE2}"/>
    <cellStyle name="Normal 2 4 5 4 2 4" xfId="9347" xr:uid="{1B104E9C-B95F-4B90-A426-8A73EBEA1DED}"/>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EF3A4738-E976-46EC-87ED-D68661A39734}"/>
    <cellStyle name="Normal 2 4 5 4 3 2 3" xfId="11905" xr:uid="{0B1DCC13-3910-44B6-B441-5D111371BACF}"/>
    <cellStyle name="Normal 2 4 5 4 3 3" xfId="5528" xr:uid="{00000000-0005-0000-0000-0000B6100000}"/>
    <cellStyle name="Normal 2 4 5 4 3 3 2" xfId="13978" xr:uid="{20D30282-4344-4F3D-A35A-D429FF3C78E1}"/>
    <cellStyle name="Normal 2 4 5 4 3 4" xfId="9760" xr:uid="{F63338BE-23DC-4FD0-8C8E-5320DF85C648}"/>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DFABE5CF-7B67-4B12-BA20-48725C4E3F7E}"/>
    <cellStyle name="Normal 2 4 5 4 4 2 3" xfId="12318" xr:uid="{7042C1B1-FC68-4EBE-B17A-C643B598671A}"/>
    <cellStyle name="Normal 2 4 5 4 4 3" xfId="5941" xr:uid="{00000000-0005-0000-0000-0000BA100000}"/>
    <cellStyle name="Normal 2 4 5 4 4 3 2" xfId="14391" xr:uid="{6FAFF8B9-FC5A-4F02-99EC-DB8ADC263ABA}"/>
    <cellStyle name="Normal 2 4 5 4 4 4" xfId="10173" xr:uid="{D4503112-CA96-4210-9D2A-15A687DFD02E}"/>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7C7F8B08-851D-4BA2-A71B-18285A000E82}"/>
    <cellStyle name="Normal 2 4 5 4 5 2 3" xfId="12731" xr:uid="{40C6AC03-EC9A-4586-BFAA-9B512572B0EE}"/>
    <cellStyle name="Normal 2 4 5 4 5 3" xfId="6354" xr:uid="{00000000-0005-0000-0000-0000BE100000}"/>
    <cellStyle name="Normal 2 4 5 4 5 3 2" xfId="14804" xr:uid="{E1B0F513-D733-47CB-80A8-230D74D272EB}"/>
    <cellStyle name="Normal 2 4 5 4 5 4" xfId="10586" xr:uid="{8A2EE347-D8A7-4DC0-B5DC-8D215A10120F}"/>
    <cellStyle name="Normal 2 4 5 4 6" xfId="2484" xr:uid="{00000000-0005-0000-0000-0000BF100000}"/>
    <cellStyle name="Normal 2 4 5 4 6 2" xfId="6767" xr:uid="{00000000-0005-0000-0000-0000C0100000}"/>
    <cellStyle name="Normal 2 4 5 4 6 2 2" xfId="15217" xr:uid="{BB8CCAD1-42CC-4A16-B609-1D38E74D067D}"/>
    <cellStyle name="Normal 2 4 5 4 6 3" xfId="10999" xr:uid="{A2D8E6AA-B439-4ECD-8A52-833438A4CB10}"/>
    <cellStyle name="Normal 2 4 5 4 7" xfId="4701" xr:uid="{00000000-0005-0000-0000-0000C1100000}"/>
    <cellStyle name="Normal 2 4 5 4 7 2" xfId="13151" xr:uid="{4DC4C427-BF24-4CE5-8D0B-503955D582F3}"/>
    <cellStyle name="Normal 2 4 5 4 8" xfId="8933" xr:uid="{ABEF166B-D6C3-4600-B21A-55DC0A184C48}"/>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A98A04C6-D1B4-4107-BD26-6FBBDA08006C}"/>
    <cellStyle name="Normal 2 4 5 5 2 3" xfId="11485" xr:uid="{12751F6F-B5CF-44DB-B47B-217EED8C7035}"/>
    <cellStyle name="Normal 2 4 5 5 3" xfId="5108" xr:uid="{00000000-0005-0000-0000-0000C5100000}"/>
    <cellStyle name="Normal 2 4 5 5 3 2" xfId="13558" xr:uid="{80A24010-0D49-4B74-B45B-D7BB51CD886D}"/>
    <cellStyle name="Normal 2 4 5 5 4" xfId="9340" xr:uid="{32069DFF-48B2-429D-9C24-05DB04CF1690}"/>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DEC9D372-4F41-4FB2-A360-321EF76A502B}"/>
    <cellStyle name="Normal 2 4 5 6 2 3" xfId="11898" xr:uid="{5CF01940-818E-4E89-9E51-FEC51A781FA0}"/>
    <cellStyle name="Normal 2 4 5 6 3" xfId="5521" xr:uid="{00000000-0005-0000-0000-0000C9100000}"/>
    <cellStyle name="Normal 2 4 5 6 3 2" xfId="13971" xr:uid="{4634E296-C995-459C-B921-1764932B7EAC}"/>
    <cellStyle name="Normal 2 4 5 6 4" xfId="9753" xr:uid="{A5E5D342-6DFA-4C0D-B961-4B1C4A6C28DE}"/>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9B4C4DBA-4854-4B64-9021-11B53DDE212C}"/>
    <cellStyle name="Normal 2 4 5 7 2 3" xfId="12311" xr:uid="{C85DF4AD-1635-448A-81C1-E75AEAB12F70}"/>
    <cellStyle name="Normal 2 4 5 7 3" xfId="5934" xr:uid="{00000000-0005-0000-0000-0000CD100000}"/>
    <cellStyle name="Normal 2 4 5 7 3 2" xfId="14384" xr:uid="{856360CB-D5CC-4BA1-B48A-4F88E1975E30}"/>
    <cellStyle name="Normal 2 4 5 7 4" xfId="10166" xr:uid="{7FCF3C5F-5014-42EB-AAE8-2127476A4629}"/>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12586D27-F911-4DA3-8B6C-8F883E104334}"/>
    <cellStyle name="Normal 2 4 5 8 2 3" xfId="12724" xr:uid="{B60A054D-3BC4-444C-8117-C98E719A0F68}"/>
    <cellStyle name="Normal 2 4 5 8 3" xfId="6347" xr:uid="{00000000-0005-0000-0000-0000D1100000}"/>
    <cellStyle name="Normal 2 4 5 8 3 2" xfId="14797" xr:uid="{D0255174-3042-44CA-8CA3-30B112E0CF3A}"/>
    <cellStyle name="Normal 2 4 5 8 4" xfId="10579" xr:uid="{5AF245C4-BA5F-4818-A125-48854CDD07C9}"/>
    <cellStyle name="Normal 2 4 5 9" xfId="2477" xr:uid="{00000000-0005-0000-0000-0000D2100000}"/>
    <cellStyle name="Normal 2 4 5 9 2" xfId="6760" xr:uid="{00000000-0005-0000-0000-0000D3100000}"/>
    <cellStyle name="Normal 2 4 5 9 2 2" xfId="15210" xr:uid="{FDFE97E8-BDA8-4A3A-8023-EDB16BC9DD71}"/>
    <cellStyle name="Normal 2 4 5 9 3" xfId="10992" xr:uid="{08EDB96F-0862-44AE-880B-3D2200C61D9C}"/>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7DB6FD13-94F3-4C5B-B9A7-2310B75B3517}"/>
    <cellStyle name="Normal 2 4 7 2 2 2 3" xfId="11494" xr:uid="{EA33D33A-00B8-4C59-93F7-ECD7D7FE1C9E}"/>
    <cellStyle name="Normal 2 4 7 2 2 3" xfId="5117" xr:uid="{00000000-0005-0000-0000-0000DA100000}"/>
    <cellStyle name="Normal 2 4 7 2 2 3 2" xfId="13567" xr:uid="{39E82127-F6D4-4C31-9B5D-33C275835602}"/>
    <cellStyle name="Normal 2 4 7 2 2 4" xfId="9349" xr:uid="{38C049A9-5EB6-4CFC-BE46-CE0FDB107B3A}"/>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E3EFA257-F30D-4AAE-B43A-090E60B34DB2}"/>
    <cellStyle name="Normal 2 4 7 2 3 2 3" xfId="11907" xr:uid="{75AB2740-9510-41A9-921B-D56AAAF38249}"/>
    <cellStyle name="Normal 2 4 7 2 3 3" xfId="5530" xr:uid="{00000000-0005-0000-0000-0000DE100000}"/>
    <cellStyle name="Normal 2 4 7 2 3 3 2" xfId="13980" xr:uid="{C2ADA6B1-D0A5-4CCE-9C9C-B7B553C0DF6F}"/>
    <cellStyle name="Normal 2 4 7 2 3 4" xfId="9762" xr:uid="{BBDF92B0-0310-432A-8445-19940AC93481}"/>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F4A1D3B8-3345-42F7-A0E8-DD4CFFF45C72}"/>
    <cellStyle name="Normal 2 4 7 2 4 2 3" xfId="12320" xr:uid="{08A6B0B2-E9D0-40E2-8260-11C0EA6EDAA6}"/>
    <cellStyle name="Normal 2 4 7 2 4 3" xfId="5943" xr:uid="{00000000-0005-0000-0000-0000E2100000}"/>
    <cellStyle name="Normal 2 4 7 2 4 3 2" xfId="14393" xr:uid="{C18BEBAE-CFFB-4E41-8C16-A0E0FD7E076F}"/>
    <cellStyle name="Normal 2 4 7 2 4 4" xfId="10175" xr:uid="{0C0457EF-74D7-4EC2-BFCA-0955BC6A4C9A}"/>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3BDD36BB-56E7-499A-932D-511BEF2B59D7}"/>
    <cellStyle name="Normal 2 4 7 2 5 2 3" xfId="12733" xr:uid="{C4632B2D-59C5-44BA-9A24-25EE6F25CF68}"/>
    <cellStyle name="Normal 2 4 7 2 5 3" xfId="6356" xr:uid="{00000000-0005-0000-0000-0000E6100000}"/>
    <cellStyle name="Normal 2 4 7 2 5 3 2" xfId="14806" xr:uid="{A764D8F6-7FBD-4091-8769-B977EE694B04}"/>
    <cellStyle name="Normal 2 4 7 2 5 4" xfId="10588" xr:uid="{472767ED-1A7E-4041-9167-4385A6E23158}"/>
    <cellStyle name="Normal 2 4 7 2 6" xfId="2486" xr:uid="{00000000-0005-0000-0000-0000E7100000}"/>
    <cellStyle name="Normal 2 4 7 2 6 2" xfId="6769" xr:uid="{00000000-0005-0000-0000-0000E8100000}"/>
    <cellStyle name="Normal 2 4 7 2 6 2 2" xfId="15219" xr:uid="{5B1FC1D6-7B71-45B2-BF39-AED93C3AFAE6}"/>
    <cellStyle name="Normal 2 4 7 2 6 3" xfId="11001" xr:uid="{AE0191B7-109A-465B-B020-4508A5F9AC05}"/>
    <cellStyle name="Normal 2 4 7 2 7" xfId="4703" xr:uid="{00000000-0005-0000-0000-0000E9100000}"/>
    <cellStyle name="Normal 2 4 7 2 7 2" xfId="13153" xr:uid="{AB4B4818-0A22-4EAE-8E46-8117AC78D79E}"/>
    <cellStyle name="Normal 2 4 7 2 8" xfId="8935" xr:uid="{BB0BA3BA-FBA8-4B8E-9459-C759D4B2A539}"/>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2003AEB2-15CB-47A8-B8F3-AF480685C15E}"/>
    <cellStyle name="Normal 2 4 7 3 2 3" xfId="11493" xr:uid="{FF947706-676C-407F-A2C8-522650D984E4}"/>
    <cellStyle name="Normal 2 4 7 3 3" xfId="5116" xr:uid="{00000000-0005-0000-0000-0000ED100000}"/>
    <cellStyle name="Normal 2 4 7 3 3 2" xfId="13566" xr:uid="{DFFCF843-F3AB-4197-927B-4DF1409BA7F5}"/>
    <cellStyle name="Normal 2 4 7 3 4" xfId="9348" xr:uid="{66F22526-D317-43DF-8CEA-CCC9509FCEF4}"/>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343267CF-E215-4B0E-8BDA-A229BFE0D0C4}"/>
    <cellStyle name="Normal 2 4 7 4 2 3" xfId="11906" xr:uid="{B939A6FC-FE5C-4131-8E75-1EDB48884727}"/>
    <cellStyle name="Normal 2 4 7 4 3" xfId="5529" xr:uid="{00000000-0005-0000-0000-0000F1100000}"/>
    <cellStyle name="Normal 2 4 7 4 3 2" xfId="13979" xr:uid="{8FC705BA-56E8-4014-B47C-3F32F8DA8DDF}"/>
    <cellStyle name="Normal 2 4 7 4 4" xfId="9761" xr:uid="{40209B2A-452B-4185-925B-C0CEC4018835}"/>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44ED922E-FECD-414F-9B7D-EF2EAF557F40}"/>
    <cellStyle name="Normal 2 4 7 5 2 3" xfId="12319" xr:uid="{A3E822E7-D69C-4D0E-AE33-74953148253D}"/>
    <cellStyle name="Normal 2 4 7 5 3" xfId="5942" xr:uid="{00000000-0005-0000-0000-0000F5100000}"/>
    <cellStyle name="Normal 2 4 7 5 3 2" xfId="14392" xr:uid="{8137D967-BE8D-4BE7-8D63-8A8DD8051256}"/>
    <cellStyle name="Normal 2 4 7 5 4" xfId="10174" xr:uid="{2800951C-D1E1-42C6-A1B9-DE8A1DFF18A2}"/>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B8A6A533-8209-4616-B6D9-175CA29A5A6B}"/>
    <cellStyle name="Normal 2 4 7 6 2 3" xfId="12732" xr:uid="{B0AE837F-2906-4D24-8905-C7ABCCAD940F}"/>
    <cellStyle name="Normal 2 4 7 6 3" xfId="6355" xr:uid="{00000000-0005-0000-0000-0000F9100000}"/>
    <cellStyle name="Normal 2 4 7 6 3 2" xfId="14805" xr:uid="{644AAAA4-16E5-4938-95C5-584BB8FABCE1}"/>
    <cellStyle name="Normal 2 4 7 6 4" xfId="10587" xr:uid="{BCA69E07-2C6C-4C1D-BA19-0B8C7F517D10}"/>
    <cellStyle name="Normal 2 4 7 7" xfId="2485" xr:uid="{00000000-0005-0000-0000-0000FA100000}"/>
    <cellStyle name="Normal 2 4 7 7 2" xfId="6768" xr:uid="{00000000-0005-0000-0000-0000FB100000}"/>
    <cellStyle name="Normal 2 4 7 7 2 2" xfId="15218" xr:uid="{3B813C34-CFE3-4A27-A870-DEFFCB2D996C}"/>
    <cellStyle name="Normal 2 4 7 7 3" xfId="11000" xr:uid="{8E0F12FB-33D9-481E-8810-8176746033AB}"/>
    <cellStyle name="Normal 2 4 7 8" xfId="4702" xr:uid="{00000000-0005-0000-0000-0000FC100000}"/>
    <cellStyle name="Normal 2 4 7 8 2" xfId="13152" xr:uid="{87B5DBD3-31D1-4424-91CA-EE7092AD1A36}"/>
    <cellStyle name="Normal 2 4 7 9" xfId="8934" xr:uid="{6A9385AE-32B0-424F-82D0-DCB74CD30DAF}"/>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5BC3F915-62E1-4AD6-AF77-A8AB6523D94C}"/>
    <cellStyle name="Normal 2 4 8 2 2 3" xfId="11495" xr:uid="{46F64320-EDA5-4441-9AF3-7112B36D91AE}"/>
    <cellStyle name="Normal 2 4 8 2 3" xfId="5118" xr:uid="{00000000-0005-0000-0000-000001110000}"/>
    <cellStyle name="Normal 2 4 8 2 3 2" xfId="13568" xr:uid="{63B83593-FEDB-44CB-887A-142C3760C1C5}"/>
    <cellStyle name="Normal 2 4 8 2 4" xfId="9350" xr:uid="{05641D9A-2A84-4F54-8E3C-0279FFAC03C7}"/>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3C1CC2EF-5686-4EA3-B7B8-0E3083892180}"/>
    <cellStyle name="Normal 2 4 8 3 2 3" xfId="11908" xr:uid="{EB6C520E-DD16-4152-AD17-C981E7B7376A}"/>
    <cellStyle name="Normal 2 4 8 3 3" xfId="5531" xr:uid="{00000000-0005-0000-0000-000005110000}"/>
    <cellStyle name="Normal 2 4 8 3 3 2" xfId="13981" xr:uid="{BBCA7DAA-498F-423F-87DA-BD83F4F06765}"/>
    <cellStyle name="Normal 2 4 8 3 4" xfId="9763" xr:uid="{DB16E3E8-CF4C-479F-B5A8-9755F589E376}"/>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82BA7F39-F86A-462B-A499-EDF8F813133D}"/>
    <cellStyle name="Normal 2 4 8 4 2 3" xfId="12321" xr:uid="{26647FF1-AD2B-429A-A763-CE4B9E83CC9E}"/>
    <cellStyle name="Normal 2 4 8 4 3" xfId="5944" xr:uid="{00000000-0005-0000-0000-000009110000}"/>
    <cellStyle name="Normal 2 4 8 4 3 2" xfId="14394" xr:uid="{2C143EB8-F40C-463D-B4D6-C389962FCEA2}"/>
    <cellStyle name="Normal 2 4 8 4 4" xfId="10176" xr:uid="{9287E05A-6FCC-4BA3-989D-272F53DC6AEA}"/>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C68F4C15-52D5-4D75-B15D-129B5682256B}"/>
    <cellStyle name="Normal 2 4 8 5 2 3" xfId="12734" xr:uid="{3B108AA1-FF3E-4F3F-8BC8-D0B4BE5F16BC}"/>
    <cellStyle name="Normal 2 4 8 5 3" xfId="6357" xr:uid="{00000000-0005-0000-0000-00000D110000}"/>
    <cellStyle name="Normal 2 4 8 5 3 2" xfId="14807" xr:uid="{D3A34CF6-6B90-429C-91D2-9BC40ED305D8}"/>
    <cellStyle name="Normal 2 4 8 5 4" xfId="10589" xr:uid="{98428C9C-5B43-4C61-9713-4845E087B4FF}"/>
    <cellStyle name="Normal 2 4 8 6" xfId="2487" xr:uid="{00000000-0005-0000-0000-00000E110000}"/>
    <cellStyle name="Normal 2 4 8 6 2" xfId="6770" xr:uid="{00000000-0005-0000-0000-00000F110000}"/>
    <cellStyle name="Normal 2 4 8 6 2 2" xfId="15220" xr:uid="{9C95C77E-B7E5-4EA4-AA53-9632EB054A98}"/>
    <cellStyle name="Normal 2 4 8 6 3" xfId="11002" xr:uid="{A33A0B2C-CD49-4AEF-BF46-4EE79E237402}"/>
    <cellStyle name="Normal 2 4 8 7" xfId="4704" xr:uid="{00000000-0005-0000-0000-000010110000}"/>
    <cellStyle name="Normal 2 4 8 7 2" xfId="13154" xr:uid="{D7EAC52C-B43B-4FB9-822E-C5EC3BE0F86B}"/>
    <cellStyle name="Normal 2 4 8 8" xfId="8936" xr:uid="{62BD671D-B772-4887-9415-9B4A36E07E6B}"/>
    <cellStyle name="Normal 2 5" xfId="315" xr:uid="{00000000-0005-0000-0000-000011110000}"/>
    <cellStyle name="Normal 2 5 10" xfId="4705" xr:uid="{00000000-0005-0000-0000-000012110000}"/>
    <cellStyle name="Normal 2 5 10 2" xfId="13155" xr:uid="{582F4F16-E184-4583-8B1E-EC34137F4631}"/>
    <cellStyle name="Normal 2 5 11" xfId="8937" xr:uid="{234D3808-7592-4F7D-B661-2CF0EB7D4F5A}"/>
    <cellStyle name="Normal 2 5 2" xfId="316" xr:uid="{00000000-0005-0000-0000-000013110000}"/>
    <cellStyle name="Normal 2 5 3" xfId="317" xr:uid="{00000000-0005-0000-0000-000014110000}"/>
    <cellStyle name="Normal 2 5 4" xfId="318" xr:uid="{00000000-0005-0000-0000-000015110000}"/>
    <cellStyle name="Normal 2 5 4 10" xfId="8938" xr:uid="{A74C088D-ADD6-463F-8C29-BEA7CECA7CA2}"/>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A4FFDD0D-D7B6-4761-AEEA-EEBB76D12703}"/>
    <cellStyle name="Normal 2 5 4 2 2 2 2 3" xfId="11499" xr:uid="{54A3BE1C-26F1-477A-AB62-6683B9574E1F}"/>
    <cellStyle name="Normal 2 5 4 2 2 2 3" xfId="5122" xr:uid="{00000000-0005-0000-0000-00001B110000}"/>
    <cellStyle name="Normal 2 5 4 2 2 2 3 2" xfId="13572" xr:uid="{A362812F-7C11-4A77-B14F-A2217D07677D}"/>
    <cellStyle name="Normal 2 5 4 2 2 2 4" xfId="9354" xr:uid="{35572620-0BE2-4925-BE42-1C0CB52240E4}"/>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F68526B9-6337-40C0-B8F9-5D572B164F1C}"/>
    <cellStyle name="Normal 2 5 4 2 2 3 2 3" xfId="11912" xr:uid="{F6D125E3-3861-4046-A25D-E7AC844F317C}"/>
    <cellStyle name="Normal 2 5 4 2 2 3 3" xfId="5535" xr:uid="{00000000-0005-0000-0000-00001F110000}"/>
    <cellStyle name="Normal 2 5 4 2 2 3 3 2" xfId="13985" xr:uid="{AD965C09-C8BF-465C-B952-36D8A0BCC7F3}"/>
    <cellStyle name="Normal 2 5 4 2 2 3 4" xfId="9767" xr:uid="{E855464A-841F-4581-A875-317C3191C1B7}"/>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9E16F82D-9916-4428-BBC4-5F55D20AB948}"/>
    <cellStyle name="Normal 2 5 4 2 2 4 2 3" xfId="12325" xr:uid="{7E7677FC-C59A-4F63-96E2-51446E7A8D46}"/>
    <cellStyle name="Normal 2 5 4 2 2 4 3" xfId="5948" xr:uid="{00000000-0005-0000-0000-000023110000}"/>
    <cellStyle name="Normal 2 5 4 2 2 4 3 2" xfId="14398" xr:uid="{91756A0E-7E3C-4685-A8B0-25EC11A1F8EB}"/>
    <cellStyle name="Normal 2 5 4 2 2 4 4" xfId="10180" xr:uid="{B14CE3D5-0ECB-4038-A339-54D9D54A97BF}"/>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17B1306F-23F3-4E23-BC32-43295BDC889A}"/>
    <cellStyle name="Normal 2 5 4 2 2 5 2 3" xfId="12738" xr:uid="{41879317-CCD9-4032-BDF6-862D1B56394E}"/>
    <cellStyle name="Normal 2 5 4 2 2 5 3" xfId="6361" xr:uid="{00000000-0005-0000-0000-000027110000}"/>
    <cellStyle name="Normal 2 5 4 2 2 5 3 2" xfId="14811" xr:uid="{A480CBAB-8162-4D5D-AF82-123CBE262504}"/>
    <cellStyle name="Normal 2 5 4 2 2 5 4" xfId="10593" xr:uid="{A9733F3D-6F53-4D2A-A1F2-9954F305A93E}"/>
    <cellStyle name="Normal 2 5 4 2 2 6" xfId="2491" xr:uid="{00000000-0005-0000-0000-000028110000}"/>
    <cellStyle name="Normal 2 5 4 2 2 6 2" xfId="6774" xr:uid="{00000000-0005-0000-0000-000029110000}"/>
    <cellStyle name="Normal 2 5 4 2 2 6 2 2" xfId="15224" xr:uid="{DA94C523-4271-4142-9201-F19F2CD863B2}"/>
    <cellStyle name="Normal 2 5 4 2 2 6 3" xfId="11006" xr:uid="{69B00713-8409-4C5B-A594-F32474E803BE}"/>
    <cellStyle name="Normal 2 5 4 2 2 7" xfId="4708" xr:uid="{00000000-0005-0000-0000-00002A110000}"/>
    <cellStyle name="Normal 2 5 4 2 2 7 2" xfId="13158" xr:uid="{2002A6B5-E508-4FBE-954A-2D97DFCFF04A}"/>
    <cellStyle name="Normal 2 5 4 2 2 8" xfId="8940" xr:uid="{C228C62D-F8BD-49BB-A585-F9B7A25F1043}"/>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10512438-BA94-418A-B49C-81843427CB08}"/>
    <cellStyle name="Normal 2 5 4 2 3 2 3" xfId="11498" xr:uid="{BD71ECFD-F131-4882-AF30-4AAA339A9E10}"/>
    <cellStyle name="Normal 2 5 4 2 3 3" xfId="5121" xr:uid="{00000000-0005-0000-0000-00002E110000}"/>
    <cellStyle name="Normal 2 5 4 2 3 3 2" xfId="13571" xr:uid="{75F1533C-36FE-43C8-8BB9-943267350E9F}"/>
    <cellStyle name="Normal 2 5 4 2 3 4" xfId="9353" xr:uid="{979E2D05-1D85-4A69-BB2E-2769F25ADD60}"/>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7381AA71-CDF2-445D-87A9-B6FBEB31E910}"/>
    <cellStyle name="Normal 2 5 4 2 4 2 3" xfId="11911" xr:uid="{09BF05F7-6FD2-4BDE-94AC-5161E7E31E37}"/>
    <cellStyle name="Normal 2 5 4 2 4 3" xfId="5534" xr:uid="{00000000-0005-0000-0000-000032110000}"/>
    <cellStyle name="Normal 2 5 4 2 4 3 2" xfId="13984" xr:uid="{E4424DA4-A856-4B49-A1B2-AACE520E4F74}"/>
    <cellStyle name="Normal 2 5 4 2 4 4" xfId="9766" xr:uid="{51BAC359-603D-4416-B452-5A5C7E09A1DB}"/>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82548308-8B0B-4F73-A37E-F191AA92D415}"/>
    <cellStyle name="Normal 2 5 4 2 5 2 3" xfId="12324" xr:uid="{A731576C-334A-48EF-9988-C59B0A7EF752}"/>
    <cellStyle name="Normal 2 5 4 2 5 3" xfId="5947" xr:uid="{00000000-0005-0000-0000-000036110000}"/>
    <cellStyle name="Normal 2 5 4 2 5 3 2" xfId="14397" xr:uid="{48E4427C-76F2-4D5D-A53F-28F321CCDA81}"/>
    <cellStyle name="Normal 2 5 4 2 5 4" xfId="10179" xr:uid="{6A8EC1AF-FC67-4080-AC74-6AFDFEC14CE8}"/>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0CCD89E6-8AF9-4194-A6BF-867381C57EBB}"/>
    <cellStyle name="Normal 2 5 4 2 6 2 3" xfId="12737" xr:uid="{87BFB7D2-7637-4D80-B463-11FED0F1F42F}"/>
    <cellStyle name="Normal 2 5 4 2 6 3" xfId="6360" xr:uid="{00000000-0005-0000-0000-00003A110000}"/>
    <cellStyle name="Normal 2 5 4 2 6 3 2" xfId="14810" xr:uid="{4D9B0489-1C74-4AE1-A769-AE9D11310302}"/>
    <cellStyle name="Normal 2 5 4 2 6 4" xfId="10592" xr:uid="{16BABE04-D620-4C0D-B37C-FAE013A9F473}"/>
    <cellStyle name="Normal 2 5 4 2 7" xfId="2490" xr:uid="{00000000-0005-0000-0000-00003B110000}"/>
    <cellStyle name="Normal 2 5 4 2 7 2" xfId="6773" xr:uid="{00000000-0005-0000-0000-00003C110000}"/>
    <cellStyle name="Normal 2 5 4 2 7 2 2" xfId="15223" xr:uid="{F1DB23DD-7A2B-4B32-A23F-16BFE7CB37B3}"/>
    <cellStyle name="Normal 2 5 4 2 7 3" xfId="11005" xr:uid="{A1E26D0C-C4BE-4B8B-918C-3911B1EB03EC}"/>
    <cellStyle name="Normal 2 5 4 2 8" xfId="4707" xr:uid="{00000000-0005-0000-0000-00003D110000}"/>
    <cellStyle name="Normal 2 5 4 2 8 2" xfId="13157" xr:uid="{6FEDA162-EB7B-4ECC-B382-369C20373C98}"/>
    <cellStyle name="Normal 2 5 4 2 9" xfId="8939" xr:uid="{88BF11C8-5960-4038-B257-42CA139D5938}"/>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D70B95E1-065C-4A89-8846-AAA6E84BB417}"/>
    <cellStyle name="Normal 2 5 4 3 2 2 3" xfId="11500" xr:uid="{40EDEB49-84B3-42E1-A3C1-C05D2D9EF895}"/>
    <cellStyle name="Normal 2 5 4 3 2 3" xfId="5123" xr:uid="{00000000-0005-0000-0000-000042110000}"/>
    <cellStyle name="Normal 2 5 4 3 2 3 2" xfId="13573" xr:uid="{7A2D0B56-E21D-4E7D-9EFC-A060E996326E}"/>
    <cellStyle name="Normal 2 5 4 3 2 4" xfId="9355" xr:uid="{80831BAA-1B40-4C34-8848-7958085D5321}"/>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67BD4121-D024-4370-9081-DC8E5F2B1A19}"/>
    <cellStyle name="Normal 2 5 4 3 3 2 3" xfId="11913" xr:uid="{9A96AB2A-743F-48D6-AE70-F080C2F48A00}"/>
    <cellStyle name="Normal 2 5 4 3 3 3" xfId="5536" xr:uid="{00000000-0005-0000-0000-000046110000}"/>
    <cellStyle name="Normal 2 5 4 3 3 3 2" xfId="13986" xr:uid="{74A39837-C017-4F87-AB53-EDEB1D801D6C}"/>
    <cellStyle name="Normal 2 5 4 3 3 4" xfId="9768" xr:uid="{D1979835-FBD6-4DC8-98FF-BEFDB14A3A33}"/>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54E5A6D8-20F4-4A94-ADA5-9366C158FE66}"/>
    <cellStyle name="Normal 2 5 4 3 4 2 3" xfId="12326" xr:uid="{3E1FA8EF-C56B-4727-84A0-34B581B34CB6}"/>
    <cellStyle name="Normal 2 5 4 3 4 3" xfId="5949" xr:uid="{00000000-0005-0000-0000-00004A110000}"/>
    <cellStyle name="Normal 2 5 4 3 4 3 2" xfId="14399" xr:uid="{6684EB31-7BC4-40FC-A77B-0E6DDB9FABFB}"/>
    <cellStyle name="Normal 2 5 4 3 4 4" xfId="10181" xr:uid="{A876DDCD-C578-44EB-B4FD-42ADB6E83187}"/>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1CC6FD2C-DAE4-485D-A810-284C43F6165E}"/>
    <cellStyle name="Normal 2 5 4 3 5 2 3" xfId="12739" xr:uid="{88E1DB11-FAF3-440C-9DAD-B0AE6CA0C380}"/>
    <cellStyle name="Normal 2 5 4 3 5 3" xfId="6362" xr:uid="{00000000-0005-0000-0000-00004E110000}"/>
    <cellStyle name="Normal 2 5 4 3 5 3 2" xfId="14812" xr:uid="{13242520-B1A0-4BC5-9FFB-9D9FEEDD1AC4}"/>
    <cellStyle name="Normal 2 5 4 3 5 4" xfId="10594" xr:uid="{1EE1592F-A49F-4B7E-9B09-7D263AF6307C}"/>
    <cellStyle name="Normal 2 5 4 3 6" xfId="2492" xr:uid="{00000000-0005-0000-0000-00004F110000}"/>
    <cellStyle name="Normal 2 5 4 3 6 2" xfId="6775" xr:uid="{00000000-0005-0000-0000-000050110000}"/>
    <cellStyle name="Normal 2 5 4 3 6 2 2" xfId="15225" xr:uid="{10C99115-62AC-4229-A45D-167DED9853C8}"/>
    <cellStyle name="Normal 2 5 4 3 6 3" xfId="11007" xr:uid="{76EA0D08-6EFA-483F-A753-C49609BDAE0A}"/>
    <cellStyle name="Normal 2 5 4 3 7" xfId="4709" xr:uid="{00000000-0005-0000-0000-000051110000}"/>
    <cellStyle name="Normal 2 5 4 3 7 2" xfId="13159" xr:uid="{E699D15B-3586-4C01-AE8E-8EADA97052F0}"/>
    <cellStyle name="Normal 2 5 4 3 8" xfId="8941" xr:uid="{B2F5F007-5176-4C17-81F5-895C4D713D07}"/>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E9B9C8C7-2F34-471E-AD32-EDD4B5FA1D7E}"/>
    <cellStyle name="Normal 2 5 4 4 2 3" xfId="11497" xr:uid="{BC230BD9-5386-4D47-9849-C83F4B8BFBA8}"/>
    <cellStyle name="Normal 2 5 4 4 3" xfId="5120" xr:uid="{00000000-0005-0000-0000-000055110000}"/>
    <cellStyle name="Normal 2 5 4 4 3 2" xfId="13570" xr:uid="{34CCF2F2-71CD-4F9B-8F1D-A90E2E3FBC94}"/>
    <cellStyle name="Normal 2 5 4 4 4" xfId="9352" xr:uid="{F65658A2-A433-428D-B1D5-1413E9835E9E}"/>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101FCFC1-5847-4E14-85C6-AF9F2E389DC0}"/>
    <cellStyle name="Normal 2 5 4 5 2 3" xfId="11910" xr:uid="{22E97CCF-918B-4D71-BB47-A0D45F4B8AB3}"/>
    <cellStyle name="Normal 2 5 4 5 3" xfId="5533" xr:uid="{00000000-0005-0000-0000-000059110000}"/>
    <cellStyle name="Normal 2 5 4 5 3 2" xfId="13983" xr:uid="{36107D80-C35F-48ED-8F24-E8EDDED6A659}"/>
    <cellStyle name="Normal 2 5 4 5 4" xfId="9765" xr:uid="{2F437B2E-980B-47B4-81CA-B81BA552E281}"/>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C58DB842-53BA-449E-AEC2-762A0B36BAB6}"/>
    <cellStyle name="Normal 2 5 4 6 2 3" xfId="12323" xr:uid="{49925A86-8833-4105-B301-4920698CA09B}"/>
    <cellStyle name="Normal 2 5 4 6 3" xfId="5946" xr:uid="{00000000-0005-0000-0000-00005D110000}"/>
    <cellStyle name="Normal 2 5 4 6 3 2" xfId="14396" xr:uid="{CDC76DCE-A110-4C4C-8363-5A5CB7B882B8}"/>
    <cellStyle name="Normal 2 5 4 6 4" xfId="10178" xr:uid="{D4038480-006E-486B-AF63-FB4D6722A6A5}"/>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2542BB73-4331-480A-A039-DE09446884DB}"/>
    <cellStyle name="Normal 2 5 4 7 2 3" xfId="12736" xr:uid="{D8EAA745-34FE-467E-82B3-E78455DED2C5}"/>
    <cellStyle name="Normal 2 5 4 7 3" xfId="6359" xr:uid="{00000000-0005-0000-0000-000061110000}"/>
    <cellStyle name="Normal 2 5 4 7 3 2" xfId="14809" xr:uid="{9758A5C2-27BA-47D7-81BA-69CDA0C1D56C}"/>
    <cellStyle name="Normal 2 5 4 7 4" xfId="10591" xr:uid="{1F0E193C-47A6-4409-A93B-69AB1E202718}"/>
    <cellStyle name="Normal 2 5 4 8" xfId="2489" xr:uid="{00000000-0005-0000-0000-000062110000}"/>
    <cellStyle name="Normal 2 5 4 8 2" xfId="6772" xr:uid="{00000000-0005-0000-0000-000063110000}"/>
    <cellStyle name="Normal 2 5 4 8 2 2" xfId="15222" xr:uid="{16BD31F0-D697-48E4-966C-1C9A7829562B}"/>
    <cellStyle name="Normal 2 5 4 8 3" xfId="11004" xr:uid="{44C3A28B-5F93-49E8-BB26-B486645AA5C8}"/>
    <cellStyle name="Normal 2 5 4 9" xfId="4706" xr:uid="{00000000-0005-0000-0000-000064110000}"/>
    <cellStyle name="Normal 2 5 4 9 2" xfId="13156" xr:uid="{65240C20-CF5C-49EE-985D-72EC7CBA2A36}"/>
    <cellStyle name="Normal 2 5 5" xfId="803" xr:uid="{00000000-0005-0000-0000-000065110000}"/>
    <cellStyle name="Normal 2 5 5 2" xfId="3042" xr:uid="{00000000-0005-0000-0000-000066110000}"/>
    <cellStyle name="Normal 2 5 5 2 2" xfId="7264" xr:uid="{00000000-0005-0000-0000-000067110000}"/>
    <cellStyle name="Normal 2 5 5 2 2 2" xfId="15714" xr:uid="{FACFCD8B-7AB2-4386-ADFF-F43C00966EC4}"/>
    <cellStyle name="Normal 2 5 5 2 3" xfId="11496" xr:uid="{F25140A4-ED7F-44EC-A67C-FA44A1572FAC}"/>
    <cellStyle name="Normal 2 5 5 3" xfId="5119" xr:uid="{00000000-0005-0000-0000-000068110000}"/>
    <cellStyle name="Normal 2 5 5 3 2" xfId="13569" xr:uid="{5A1D85F7-D893-4F71-BD55-3CA7DA8B6D3E}"/>
    <cellStyle name="Normal 2 5 5 4" xfId="9351" xr:uid="{6A6632B8-D143-4F9C-BB37-3976A7950659}"/>
    <cellStyle name="Normal 2 5 6" xfId="1225" xr:uid="{00000000-0005-0000-0000-000069110000}"/>
    <cellStyle name="Normal 2 5 6 2" xfId="3455" xr:uid="{00000000-0005-0000-0000-00006A110000}"/>
    <cellStyle name="Normal 2 5 6 2 2" xfId="7677" xr:uid="{00000000-0005-0000-0000-00006B110000}"/>
    <cellStyle name="Normal 2 5 6 2 2 2" xfId="16127" xr:uid="{DCDC231F-4D6B-44A3-BA2F-6E45C5D052DA}"/>
    <cellStyle name="Normal 2 5 6 2 3" xfId="11909" xr:uid="{EC276EEC-5012-4539-AB28-69E7F8D550F1}"/>
    <cellStyle name="Normal 2 5 6 3" xfId="5532" xr:uid="{00000000-0005-0000-0000-00006C110000}"/>
    <cellStyle name="Normal 2 5 6 3 2" xfId="13982" xr:uid="{DD082853-B4E1-42B7-B712-1BF825C0E73C}"/>
    <cellStyle name="Normal 2 5 6 4" xfId="9764" xr:uid="{3C4B60FC-DB75-42AA-97C1-C8233E14E066}"/>
    <cellStyle name="Normal 2 5 7" xfId="1638" xr:uid="{00000000-0005-0000-0000-00006D110000}"/>
    <cellStyle name="Normal 2 5 7 2" xfId="3868" xr:uid="{00000000-0005-0000-0000-00006E110000}"/>
    <cellStyle name="Normal 2 5 7 2 2" xfId="8090" xr:uid="{00000000-0005-0000-0000-00006F110000}"/>
    <cellStyle name="Normal 2 5 7 2 2 2" xfId="16540" xr:uid="{8CD83C59-44D3-4DA7-9BFB-36147197CF8F}"/>
    <cellStyle name="Normal 2 5 7 2 3" xfId="12322" xr:uid="{03460C0D-F4A2-495A-A15F-29D8C534D298}"/>
    <cellStyle name="Normal 2 5 7 3" xfId="5945" xr:uid="{00000000-0005-0000-0000-000070110000}"/>
    <cellStyle name="Normal 2 5 7 3 2" xfId="14395" xr:uid="{049248FF-B1F1-422D-98AA-C8C10F840521}"/>
    <cellStyle name="Normal 2 5 7 4" xfId="10177" xr:uid="{925FCBFA-1E8B-4103-B6CC-33EE4DFF08A8}"/>
    <cellStyle name="Normal 2 5 8" xfId="2052" xr:uid="{00000000-0005-0000-0000-000071110000}"/>
    <cellStyle name="Normal 2 5 8 2" xfId="4281" xr:uid="{00000000-0005-0000-0000-000072110000}"/>
    <cellStyle name="Normal 2 5 8 2 2" xfId="8503" xr:uid="{00000000-0005-0000-0000-000073110000}"/>
    <cellStyle name="Normal 2 5 8 2 2 2" xfId="16953" xr:uid="{167D4235-E428-4A46-A9D7-4BDFB1CA37D5}"/>
    <cellStyle name="Normal 2 5 8 2 3" xfId="12735" xr:uid="{98034314-FCBE-4B9A-BA03-9D84FAD498DC}"/>
    <cellStyle name="Normal 2 5 8 3" xfId="6358" xr:uid="{00000000-0005-0000-0000-000074110000}"/>
    <cellStyle name="Normal 2 5 8 3 2" xfId="14808" xr:uid="{2F2AB39A-3F9E-48F7-9D14-996A2BA08B1F}"/>
    <cellStyle name="Normal 2 5 8 4" xfId="10590" xr:uid="{A0142DEA-271E-4DAD-A3D7-F65C182C4E88}"/>
    <cellStyle name="Normal 2 5 9" xfId="2488" xr:uid="{00000000-0005-0000-0000-000075110000}"/>
    <cellStyle name="Normal 2 5 9 2" xfId="6771" xr:uid="{00000000-0005-0000-0000-000076110000}"/>
    <cellStyle name="Normal 2 5 9 2 2" xfId="15221" xr:uid="{7236C329-7025-47D1-9031-EC989B2EB3F1}"/>
    <cellStyle name="Normal 2 5 9 3" xfId="11003" xr:uid="{355A2C59-CA5C-4707-9237-AA4B19F0C797}"/>
    <cellStyle name="Normal 2 6" xfId="322" xr:uid="{00000000-0005-0000-0000-000077110000}"/>
    <cellStyle name="Normal 2 7" xfId="769" xr:uid="{00000000-0005-0000-0000-000078110000}"/>
    <cellStyle name="Normal 2 8" xfId="4495" xr:uid="{00000000-0005-0000-0000-000079110000}"/>
    <cellStyle name="Normal 2 8 2" xfId="12947" xr:uid="{7AB6A169-060D-46B9-9E12-4968E710D1FD}"/>
    <cellStyle name="Normal 3" xfId="323" xr:uid="{00000000-0005-0000-0000-00007A110000}"/>
    <cellStyle name="Normal 3 2" xfId="324" xr:uid="{00000000-0005-0000-0000-00007B110000}"/>
    <cellStyle name="Normal 3 2 10" xfId="8942" xr:uid="{D6A7DDAC-462F-471A-A042-60FDAD0775AD}"/>
    <cellStyle name="Normal 3 2 2" xfId="325" xr:uid="{00000000-0005-0000-0000-00007C110000}"/>
    <cellStyle name="Normal 3 2 2 2" xfId="810" xr:uid="{00000000-0005-0000-0000-00007D110000}"/>
    <cellStyle name="Normal 3 2 3" xfId="326" xr:uid="{00000000-0005-0000-0000-00007E110000}"/>
    <cellStyle name="Normal 3 2 3 10" xfId="8943" xr:uid="{6666D09C-2FD1-4D4E-A8AE-92F612ACA85C}"/>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4A740BF1-D830-48A6-890A-61A06CC56F60}"/>
    <cellStyle name="Normal 3 2 3 2 2 2 2 3" xfId="11504" xr:uid="{0EF3E71F-052B-4C66-AE72-31168A39B8ED}"/>
    <cellStyle name="Normal 3 2 3 2 2 2 3" xfId="5127" xr:uid="{00000000-0005-0000-0000-000084110000}"/>
    <cellStyle name="Normal 3 2 3 2 2 2 3 2" xfId="13577" xr:uid="{2FD67255-CD2E-4B8F-A033-E498D5A721FF}"/>
    <cellStyle name="Normal 3 2 3 2 2 2 4" xfId="9359" xr:uid="{5D6325BF-DD97-4144-9A90-7E7F59A28CE9}"/>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674ED015-C40D-4D99-98BC-E59DD3CFFAFF}"/>
    <cellStyle name="Normal 3 2 3 2 2 3 2 3" xfId="11917" xr:uid="{56AB7F76-D3BE-45FB-B727-6A8D063481EA}"/>
    <cellStyle name="Normal 3 2 3 2 2 3 3" xfId="5540" xr:uid="{00000000-0005-0000-0000-000088110000}"/>
    <cellStyle name="Normal 3 2 3 2 2 3 3 2" xfId="13990" xr:uid="{82DF62AF-2A98-40CD-8230-5DFE45DD9288}"/>
    <cellStyle name="Normal 3 2 3 2 2 3 4" xfId="9772" xr:uid="{D9D907C9-8BB1-4A02-8A29-21D4B1B8CAEA}"/>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8D330AF4-9C1C-4F9F-949D-FCE38AFCC9BC}"/>
    <cellStyle name="Normal 3 2 3 2 2 4 2 3" xfId="12330" xr:uid="{C48B3258-FB0D-4243-989A-90CC578A9AD7}"/>
    <cellStyle name="Normal 3 2 3 2 2 4 3" xfId="5953" xr:uid="{00000000-0005-0000-0000-00008C110000}"/>
    <cellStyle name="Normal 3 2 3 2 2 4 3 2" xfId="14403" xr:uid="{7373A102-1253-4EAF-BDFA-71758BEF0626}"/>
    <cellStyle name="Normal 3 2 3 2 2 4 4" xfId="10185" xr:uid="{C1389BDC-01AD-47B2-811A-AEF5E78EFA76}"/>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F6320C37-C6E6-4A45-A585-59E8D8D3F34F}"/>
    <cellStyle name="Normal 3 2 3 2 2 5 2 3" xfId="12743" xr:uid="{6FC735CE-F658-4875-AA3A-DFEA10B4DFDF}"/>
    <cellStyle name="Normal 3 2 3 2 2 5 3" xfId="6366" xr:uid="{00000000-0005-0000-0000-000090110000}"/>
    <cellStyle name="Normal 3 2 3 2 2 5 3 2" xfId="14816" xr:uid="{5B2285BB-87FA-4180-A3F7-8FDF91FA016E}"/>
    <cellStyle name="Normal 3 2 3 2 2 5 4" xfId="10598" xr:uid="{E9A270F3-234A-4109-B61E-696950DBDCC8}"/>
    <cellStyle name="Normal 3 2 3 2 2 6" xfId="2496" xr:uid="{00000000-0005-0000-0000-000091110000}"/>
    <cellStyle name="Normal 3 2 3 2 2 6 2" xfId="6779" xr:uid="{00000000-0005-0000-0000-000092110000}"/>
    <cellStyle name="Normal 3 2 3 2 2 6 2 2" xfId="15229" xr:uid="{80598347-DC75-4101-9534-9A4EBEA8744F}"/>
    <cellStyle name="Normal 3 2 3 2 2 6 3" xfId="11011" xr:uid="{E85E87FE-ED1A-41F7-A8DB-FBE8AFAFC5C8}"/>
    <cellStyle name="Normal 3 2 3 2 2 7" xfId="4713" xr:uid="{00000000-0005-0000-0000-000093110000}"/>
    <cellStyle name="Normal 3 2 3 2 2 7 2" xfId="13163" xr:uid="{71BFF703-AE0D-4FC1-8318-7C53B549451F}"/>
    <cellStyle name="Normal 3 2 3 2 2 8" xfId="8945" xr:uid="{9471F455-546E-4717-83CA-EF3498FEBD7D}"/>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81B21CF1-5903-4E8F-9EB3-64BFDDEBE791}"/>
    <cellStyle name="Normal 3 2 3 2 3 2 3" xfId="11503" xr:uid="{9DC455A7-1C9E-4679-96FC-6C871EC761AC}"/>
    <cellStyle name="Normal 3 2 3 2 3 3" xfId="5126" xr:uid="{00000000-0005-0000-0000-000097110000}"/>
    <cellStyle name="Normal 3 2 3 2 3 3 2" xfId="13576" xr:uid="{F48B0914-4A57-436C-BA8B-8671D2C2CE47}"/>
    <cellStyle name="Normal 3 2 3 2 3 4" xfId="9358" xr:uid="{812F1546-BCC0-47A8-B3F1-162EB62B2727}"/>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3C5E38D4-16E1-4A12-BA7E-EB5AF9A6D425}"/>
    <cellStyle name="Normal 3 2 3 2 4 2 3" xfId="11916" xr:uid="{2752BF22-0130-4311-A503-C2BE3DC64598}"/>
    <cellStyle name="Normal 3 2 3 2 4 3" xfId="5539" xr:uid="{00000000-0005-0000-0000-00009B110000}"/>
    <cellStyle name="Normal 3 2 3 2 4 3 2" xfId="13989" xr:uid="{6E4A70C3-3118-4F35-9512-57B11DA9A81E}"/>
    <cellStyle name="Normal 3 2 3 2 4 4" xfId="9771" xr:uid="{4E384B47-B5E3-4131-8CF9-95371A1882F8}"/>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BE8A6927-0A90-42C0-89B6-00E25DA6443A}"/>
    <cellStyle name="Normal 3 2 3 2 5 2 3" xfId="12329" xr:uid="{21C96C81-F97D-4144-814C-33E4CBCE505A}"/>
    <cellStyle name="Normal 3 2 3 2 5 3" xfId="5952" xr:uid="{00000000-0005-0000-0000-00009F110000}"/>
    <cellStyle name="Normal 3 2 3 2 5 3 2" xfId="14402" xr:uid="{E0B7B5A2-2D15-47D2-B134-07706D176CDE}"/>
    <cellStyle name="Normal 3 2 3 2 5 4" xfId="10184" xr:uid="{CE87AFB5-BE9C-444C-AAA0-8E1C1633F369}"/>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A4EFB8BF-7708-4318-B971-D6ADA02FE844}"/>
    <cellStyle name="Normal 3 2 3 2 6 2 3" xfId="12742" xr:uid="{7A977E00-1E8A-4A73-BB53-8016CFDAC836}"/>
    <cellStyle name="Normal 3 2 3 2 6 3" xfId="6365" xr:uid="{00000000-0005-0000-0000-0000A3110000}"/>
    <cellStyle name="Normal 3 2 3 2 6 3 2" xfId="14815" xr:uid="{D493AB89-E558-425C-97B4-BF68538BD1B6}"/>
    <cellStyle name="Normal 3 2 3 2 6 4" xfId="10597" xr:uid="{BAD8FA09-B5AE-46C8-90FF-2B6B39CAB9E2}"/>
    <cellStyle name="Normal 3 2 3 2 7" xfId="2495" xr:uid="{00000000-0005-0000-0000-0000A4110000}"/>
    <cellStyle name="Normal 3 2 3 2 7 2" xfId="6778" xr:uid="{00000000-0005-0000-0000-0000A5110000}"/>
    <cellStyle name="Normal 3 2 3 2 7 2 2" xfId="15228" xr:uid="{4D7A666E-6A62-4C03-9416-A6A241D89ED6}"/>
    <cellStyle name="Normal 3 2 3 2 7 3" xfId="11010" xr:uid="{FA965ADA-626D-49D6-8782-875A82AA80DC}"/>
    <cellStyle name="Normal 3 2 3 2 8" xfId="4712" xr:uid="{00000000-0005-0000-0000-0000A6110000}"/>
    <cellStyle name="Normal 3 2 3 2 8 2" xfId="13162" xr:uid="{ECA00812-F5B8-4383-B0A9-8DC9D5CDFBEA}"/>
    <cellStyle name="Normal 3 2 3 2 9" xfId="8944" xr:uid="{8B39DFBD-06BA-4F51-81D7-F957CAA225E9}"/>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9F3BBFE9-9A63-424E-9495-3FD2823BA50B}"/>
    <cellStyle name="Normal 3 2 3 3 2 2 3" xfId="11505" xr:uid="{866C4CEE-A130-4F26-A9A3-69E4811FD64E}"/>
    <cellStyle name="Normal 3 2 3 3 2 3" xfId="5128" xr:uid="{00000000-0005-0000-0000-0000AB110000}"/>
    <cellStyle name="Normal 3 2 3 3 2 3 2" xfId="13578" xr:uid="{AAB4399F-9FC0-4FF1-A740-FE87561893F5}"/>
    <cellStyle name="Normal 3 2 3 3 2 4" xfId="9360" xr:uid="{9814BBF1-2AF1-4F80-9E55-0D5461B056E0}"/>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C4B1BA4D-D036-4FCF-AE42-454ADD9EE10E}"/>
    <cellStyle name="Normal 3 2 3 3 3 2 3" xfId="11918" xr:uid="{0615AAB1-2315-4446-8BCB-17B029822A21}"/>
    <cellStyle name="Normal 3 2 3 3 3 3" xfId="5541" xr:uid="{00000000-0005-0000-0000-0000AF110000}"/>
    <cellStyle name="Normal 3 2 3 3 3 3 2" xfId="13991" xr:uid="{9F8E2D6F-E62D-4189-B443-E9A5625380D1}"/>
    <cellStyle name="Normal 3 2 3 3 3 4" xfId="9773" xr:uid="{E1F142BE-4B83-4F2A-B08B-9FA6D227D4C0}"/>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23AB4A3B-7A78-44A4-BD6C-C09AF93D3EA0}"/>
    <cellStyle name="Normal 3 2 3 3 4 2 3" xfId="12331" xr:uid="{E0DC3F71-38F5-4686-8986-3375180E0C0D}"/>
    <cellStyle name="Normal 3 2 3 3 4 3" xfId="5954" xr:uid="{00000000-0005-0000-0000-0000B3110000}"/>
    <cellStyle name="Normal 3 2 3 3 4 3 2" xfId="14404" xr:uid="{38D6347D-1D18-4C3D-A47B-DF8CD825E3CD}"/>
    <cellStyle name="Normal 3 2 3 3 4 4" xfId="10186" xr:uid="{2819B1C2-43E0-472B-9C1E-897F04EE7936}"/>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40E7E406-856F-4F19-BF98-D4EE4944A943}"/>
    <cellStyle name="Normal 3 2 3 3 5 2 3" xfId="12744" xr:uid="{CFCFC0D8-4E5A-41B5-9CB8-63A53C895E32}"/>
    <cellStyle name="Normal 3 2 3 3 5 3" xfId="6367" xr:uid="{00000000-0005-0000-0000-0000B7110000}"/>
    <cellStyle name="Normal 3 2 3 3 5 3 2" xfId="14817" xr:uid="{95882B90-4CCF-46C1-80EB-2BB20C9D3E07}"/>
    <cellStyle name="Normal 3 2 3 3 5 4" xfId="10599" xr:uid="{3583C96F-1DCC-4F28-8D43-8900B14F8709}"/>
    <cellStyle name="Normal 3 2 3 3 6" xfId="2497" xr:uid="{00000000-0005-0000-0000-0000B8110000}"/>
    <cellStyle name="Normal 3 2 3 3 6 2" xfId="6780" xr:uid="{00000000-0005-0000-0000-0000B9110000}"/>
    <cellStyle name="Normal 3 2 3 3 6 2 2" xfId="15230" xr:uid="{701CF220-8C2E-49B2-AC5A-BD01A9A91811}"/>
    <cellStyle name="Normal 3 2 3 3 6 3" xfId="11012" xr:uid="{681FAF77-51E4-4305-9F69-FAD791B9A4A1}"/>
    <cellStyle name="Normal 3 2 3 3 7" xfId="4714" xr:uid="{00000000-0005-0000-0000-0000BA110000}"/>
    <cellStyle name="Normal 3 2 3 3 7 2" xfId="13164" xr:uid="{3B9E4B48-1C3F-45B6-916E-1BD9891C889B}"/>
    <cellStyle name="Normal 3 2 3 3 8" xfId="8946" xr:uid="{F43C138B-2277-4275-A59A-D7C78A7F283A}"/>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2A857807-6130-4094-BBB7-E3B0CF70ED1B}"/>
    <cellStyle name="Normal 3 2 3 4 2 3" xfId="11502" xr:uid="{C9839A77-4837-494C-A3CE-1D229DBBFD18}"/>
    <cellStyle name="Normal 3 2 3 4 3" xfId="5125" xr:uid="{00000000-0005-0000-0000-0000BE110000}"/>
    <cellStyle name="Normal 3 2 3 4 3 2" xfId="13575" xr:uid="{DFA6E95C-86E7-4408-9F58-1AA50531FCE5}"/>
    <cellStyle name="Normal 3 2 3 4 4" xfId="9357" xr:uid="{BDEAB0DB-8018-4FCD-ABC1-96EFCD65D8D6}"/>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E63E1D55-8A2C-4C37-9EA2-A48F264C58BA}"/>
    <cellStyle name="Normal 3 2 3 5 2 3" xfId="11915" xr:uid="{FAF886FD-94CB-4473-94AA-1A90DFBB2419}"/>
    <cellStyle name="Normal 3 2 3 5 3" xfId="5538" xr:uid="{00000000-0005-0000-0000-0000C2110000}"/>
    <cellStyle name="Normal 3 2 3 5 3 2" xfId="13988" xr:uid="{F50EDD1B-84E6-40F1-86E2-4042D9815CEE}"/>
    <cellStyle name="Normal 3 2 3 5 4" xfId="9770" xr:uid="{C6B428F8-1DC3-48B9-B73A-9FA75A18F563}"/>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5310C0A1-EC12-4B76-8809-3AA7C63D1BE2}"/>
    <cellStyle name="Normal 3 2 3 6 2 3" xfId="12328" xr:uid="{6430525D-96C1-4B92-B028-7AF41A84B659}"/>
    <cellStyle name="Normal 3 2 3 6 3" xfId="5951" xr:uid="{00000000-0005-0000-0000-0000C6110000}"/>
    <cellStyle name="Normal 3 2 3 6 3 2" xfId="14401" xr:uid="{8674229A-B84B-40AE-ACF6-C6ADB8A3FF84}"/>
    <cellStyle name="Normal 3 2 3 6 4" xfId="10183" xr:uid="{AFE3BFBA-93DF-4DCC-A7A7-02DCDC8E717E}"/>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DD53326D-0501-490D-8840-35474413DA0E}"/>
    <cellStyle name="Normal 3 2 3 7 2 3" xfId="12741" xr:uid="{AD7BC341-E04C-496D-8A9E-4D50A9203E20}"/>
    <cellStyle name="Normal 3 2 3 7 3" xfId="6364" xr:uid="{00000000-0005-0000-0000-0000CA110000}"/>
    <cellStyle name="Normal 3 2 3 7 3 2" xfId="14814" xr:uid="{88CBB837-0563-44F1-B0DB-A57CE5DF8167}"/>
    <cellStyle name="Normal 3 2 3 7 4" xfId="10596" xr:uid="{E71E9913-D35A-4DAB-B6B6-8B1A2D908036}"/>
    <cellStyle name="Normal 3 2 3 8" xfId="2494" xr:uid="{00000000-0005-0000-0000-0000CB110000}"/>
    <cellStyle name="Normal 3 2 3 8 2" xfId="6777" xr:uid="{00000000-0005-0000-0000-0000CC110000}"/>
    <cellStyle name="Normal 3 2 3 8 2 2" xfId="15227" xr:uid="{60C5F8DB-E7F2-4E11-90EF-1935CA27ED3F}"/>
    <cellStyle name="Normal 3 2 3 8 3" xfId="11009" xr:uid="{1DEE5425-9790-4262-867D-8F4C35D8923A}"/>
    <cellStyle name="Normal 3 2 3 9" xfId="4711" xr:uid="{00000000-0005-0000-0000-0000CD110000}"/>
    <cellStyle name="Normal 3 2 3 9 2" xfId="13161" xr:uid="{F9B6EA80-7FB2-4A46-8888-F00AC3D052B7}"/>
    <cellStyle name="Normal 3 2 4" xfId="809" xr:uid="{00000000-0005-0000-0000-0000CE110000}"/>
    <cellStyle name="Normal 3 2 4 2" xfId="3047" xr:uid="{00000000-0005-0000-0000-0000CF110000}"/>
    <cellStyle name="Normal 3 2 4 2 2" xfId="7269" xr:uid="{00000000-0005-0000-0000-0000D0110000}"/>
    <cellStyle name="Normal 3 2 4 2 2 2" xfId="15719" xr:uid="{F0323688-0132-47E3-807D-BBE06F9933A2}"/>
    <cellStyle name="Normal 3 2 4 2 3" xfId="11501" xr:uid="{EE520DB3-7D82-4EE3-899F-239430D8A703}"/>
    <cellStyle name="Normal 3 2 4 3" xfId="5124" xr:uid="{00000000-0005-0000-0000-0000D1110000}"/>
    <cellStyle name="Normal 3 2 4 3 2" xfId="13574" xr:uid="{5E4EE56F-85E3-4DD4-AD05-CBB4666672B2}"/>
    <cellStyle name="Normal 3 2 4 4" xfId="9356" xr:uid="{2E20B8E4-8C58-42B7-9EC2-BF6BC42D953C}"/>
    <cellStyle name="Normal 3 2 5" xfId="1230" xr:uid="{00000000-0005-0000-0000-0000D2110000}"/>
    <cellStyle name="Normal 3 2 5 2" xfId="3460" xr:uid="{00000000-0005-0000-0000-0000D3110000}"/>
    <cellStyle name="Normal 3 2 5 2 2" xfId="7682" xr:uid="{00000000-0005-0000-0000-0000D4110000}"/>
    <cellStyle name="Normal 3 2 5 2 2 2" xfId="16132" xr:uid="{3C5ABAD5-6787-4D50-8704-084F9C8921B3}"/>
    <cellStyle name="Normal 3 2 5 2 3" xfId="11914" xr:uid="{576D894F-DA13-4C0A-8867-1C3928891B99}"/>
    <cellStyle name="Normal 3 2 5 3" xfId="5537" xr:uid="{00000000-0005-0000-0000-0000D5110000}"/>
    <cellStyle name="Normal 3 2 5 3 2" xfId="13987" xr:uid="{CBADFDA7-05DA-4163-9A77-8FA69759A620}"/>
    <cellStyle name="Normal 3 2 5 4" xfId="9769" xr:uid="{CE97186D-2BE5-4F98-A801-A0C8BAC0C64C}"/>
    <cellStyle name="Normal 3 2 6" xfId="1643" xr:uid="{00000000-0005-0000-0000-0000D6110000}"/>
    <cellStyle name="Normal 3 2 6 2" xfId="3873" xr:uid="{00000000-0005-0000-0000-0000D7110000}"/>
    <cellStyle name="Normal 3 2 6 2 2" xfId="8095" xr:uid="{00000000-0005-0000-0000-0000D8110000}"/>
    <cellStyle name="Normal 3 2 6 2 2 2" xfId="16545" xr:uid="{EED9C582-8B45-43AC-BD1C-50F1A87D6BEA}"/>
    <cellStyle name="Normal 3 2 6 2 3" xfId="12327" xr:uid="{462B0FA3-506B-4F1E-A520-0FA3DBA85ED1}"/>
    <cellStyle name="Normal 3 2 6 3" xfId="5950" xr:uid="{00000000-0005-0000-0000-0000D9110000}"/>
    <cellStyle name="Normal 3 2 6 3 2" xfId="14400" xr:uid="{6EA0BFA4-CCD8-4694-95CD-B785AB4F9C6F}"/>
    <cellStyle name="Normal 3 2 6 4" xfId="10182" xr:uid="{DF722D58-B427-4F03-AD8F-B3641C3D44CF}"/>
    <cellStyle name="Normal 3 2 7" xfId="2057" xr:uid="{00000000-0005-0000-0000-0000DA110000}"/>
    <cellStyle name="Normal 3 2 7 2" xfId="4286" xr:uid="{00000000-0005-0000-0000-0000DB110000}"/>
    <cellStyle name="Normal 3 2 7 2 2" xfId="8508" xr:uid="{00000000-0005-0000-0000-0000DC110000}"/>
    <cellStyle name="Normal 3 2 7 2 2 2" xfId="16958" xr:uid="{FBF43900-F7AF-4BBA-A45F-3BA97AEDA8EF}"/>
    <cellStyle name="Normal 3 2 7 2 3" xfId="12740" xr:uid="{9C7AEA60-D8B7-4391-99E3-C2FA26519EF9}"/>
    <cellStyle name="Normal 3 2 7 3" xfId="6363" xr:uid="{00000000-0005-0000-0000-0000DD110000}"/>
    <cellStyle name="Normal 3 2 7 3 2" xfId="14813" xr:uid="{1020CEAC-0F28-4227-84A0-791C71F65431}"/>
    <cellStyle name="Normal 3 2 7 4" xfId="10595" xr:uid="{38FD3D2B-472F-4F06-8D85-3908D18F724B}"/>
    <cellStyle name="Normal 3 2 8" xfId="2493" xr:uid="{00000000-0005-0000-0000-0000DE110000}"/>
    <cellStyle name="Normal 3 2 8 2" xfId="6776" xr:uid="{00000000-0005-0000-0000-0000DF110000}"/>
    <cellStyle name="Normal 3 2 8 2 2" xfId="15226" xr:uid="{3090E50D-A745-42CF-A3DC-D91A67056D97}"/>
    <cellStyle name="Normal 3 2 8 3" xfId="11008" xr:uid="{7E7D254B-FA1E-4747-88D5-A45130FA65EE}"/>
    <cellStyle name="Normal 3 2 9" xfId="4710" xr:uid="{00000000-0005-0000-0000-0000E0110000}"/>
    <cellStyle name="Normal 3 2 9 2" xfId="13160" xr:uid="{928EFA0B-9E41-460E-9893-F901E41D3C5D}"/>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C587D275-0D99-4D1D-A367-9F4572BE77C7}"/>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CA25AE47-A746-4375-9D63-774C25D22B23}"/>
    <cellStyle name="Normal 4 2 2 10 2 3" xfId="12745" xr:uid="{E9D7F201-E935-48A3-8A69-320A1FF52113}"/>
    <cellStyle name="Normal 4 2 2 10 3" xfId="6368" xr:uid="{00000000-0005-0000-0000-0000ED110000}"/>
    <cellStyle name="Normal 4 2 2 10 3 2" xfId="14818" xr:uid="{799F30C4-FF10-40EF-A9E5-F81B00995409}"/>
    <cellStyle name="Normal 4 2 2 10 4" xfId="10600" xr:uid="{46A1EA71-D726-40B9-811F-45EDF60DCE9B}"/>
    <cellStyle name="Normal 4 2 2 11" xfId="2498" xr:uid="{00000000-0005-0000-0000-0000EE110000}"/>
    <cellStyle name="Normal 4 2 2 11 2" xfId="6781" xr:uid="{00000000-0005-0000-0000-0000EF110000}"/>
    <cellStyle name="Normal 4 2 2 11 2 2" xfId="15231" xr:uid="{116817A4-96BF-4B07-9561-ABF3D76A7380}"/>
    <cellStyle name="Normal 4 2 2 11 3" xfId="11013" xr:uid="{2FB18BA7-F13C-4A38-9EEF-A45406880B38}"/>
    <cellStyle name="Normal 4 2 2 12" xfId="4716" xr:uid="{00000000-0005-0000-0000-0000F0110000}"/>
    <cellStyle name="Normal 4 2 2 12 2" xfId="13166" xr:uid="{CDA31557-E5A5-4B0E-A4B9-E627B1560072}"/>
    <cellStyle name="Normal 4 2 2 13" xfId="8948" xr:uid="{949DE27E-F900-4D95-A6CA-C59338D14BD8}"/>
    <cellStyle name="Normal 4 2 2 2" xfId="338" xr:uid="{00000000-0005-0000-0000-0000F1110000}"/>
    <cellStyle name="Normal 4 2 2 3" xfId="339" xr:uid="{00000000-0005-0000-0000-0000F2110000}"/>
    <cellStyle name="Normal 4 2 2 3 10" xfId="4717" xr:uid="{00000000-0005-0000-0000-0000F3110000}"/>
    <cellStyle name="Normal 4 2 2 3 10 2" xfId="13167" xr:uid="{35225C10-1D4E-4E33-8762-9AC19DB8769F}"/>
    <cellStyle name="Normal 4 2 2 3 11" xfId="8949" xr:uid="{88F0B965-42AE-4F4A-9AF4-BFC773531E90}"/>
    <cellStyle name="Normal 4 2 2 3 2" xfId="340" xr:uid="{00000000-0005-0000-0000-0000F4110000}"/>
    <cellStyle name="Normal 4 2 2 3 2 10" xfId="8950" xr:uid="{A0192EC5-BB21-4848-ABDB-CEE0E2966316}"/>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FBDAD4AB-BAEE-463B-9977-2D174373125D}"/>
    <cellStyle name="Normal 4 2 2 3 2 2 2 2 2 3" xfId="11510" xr:uid="{843EF20B-1D34-46E7-B746-A1E496AA973C}"/>
    <cellStyle name="Normal 4 2 2 3 2 2 2 2 3" xfId="5133" xr:uid="{00000000-0005-0000-0000-0000FA110000}"/>
    <cellStyle name="Normal 4 2 2 3 2 2 2 2 3 2" xfId="13583" xr:uid="{807BD851-8FBA-4ABB-90AE-AFB059014494}"/>
    <cellStyle name="Normal 4 2 2 3 2 2 2 2 4" xfId="9365" xr:uid="{7933C08F-8F70-4EAE-9858-A3BB716D1159}"/>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8430DB09-BD58-4973-98EB-0491C2156832}"/>
    <cellStyle name="Normal 4 2 2 3 2 2 2 3 2 3" xfId="11923" xr:uid="{6A38AB76-B39D-4F6D-B55F-90DC7A18A3BA}"/>
    <cellStyle name="Normal 4 2 2 3 2 2 2 3 3" xfId="5546" xr:uid="{00000000-0005-0000-0000-0000FE110000}"/>
    <cellStyle name="Normal 4 2 2 3 2 2 2 3 3 2" xfId="13996" xr:uid="{4BAED291-9F21-4EDA-806D-002E56A166C5}"/>
    <cellStyle name="Normal 4 2 2 3 2 2 2 3 4" xfId="9778" xr:uid="{A8371EB0-C932-42BE-A2FC-7AE1CDF74417}"/>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1AB66FCC-F780-4572-BF07-FE212C03CF82}"/>
    <cellStyle name="Normal 4 2 2 3 2 2 2 4 2 3" xfId="12336" xr:uid="{3EC7EF13-D1CE-47F5-A8B9-14C4799739FF}"/>
    <cellStyle name="Normal 4 2 2 3 2 2 2 4 3" xfId="5959" xr:uid="{00000000-0005-0000-0000-000002120000}"/>
    <cellStyle name="Normal 4 2 2 3 2 2 2 4 3 2" xfId="14409" xr:uid="{BBD0E669-A4ED-4F6E-AE13-36DFC441C240}"/>
    <cellStyle name="Normal 4 2 2 3 2 2 2 4 4" xfId="10191" xr:uid="{A5F68FA2-3286-4F91-91B5-56D8C8DA5B88}"/>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C450C7B9-F370-484A-9727-FFC6732C2EDB}"/>
    <cellStyle name="Normal 4 2 2 3 2 2 2 5 2 3" xfId="12749" xr:uid="{BB412883-7BB7-4A40-A03C-1DF2AF7F2DFB}"/>
    <cellStyle name="Normal 4 2 2 3 2 2 2 5 3" xfId="6372" xr:uid="{00000000-0005-0000-0000-000006120000}"/>
    <cellStyle name="Normal 4 2 2 3 2 2 2 5 3 2" xfId="14822" xr:uid="{0E9D0470-D496-42D4-835F-A6A5DC415DBE}"/>
    <cellStyle name="Normal 4 2 2 3 2 2 2 5 4" xfId="10604" xr:uid="{1EB37435-2ED3-45CA-9B6F-471F8ECA0196}"/>
    <cellStyle name="Normal 4 2 2 3 2 2 2 6" xfId="2502" xr:uid="{00000000-0005-0000-0000-000007120000}"/>
    <cellStyle name="Normal 4 2 2 3 2 2 2 6 2" xfId="6785" xr:uid="{00000000-0005-0000-0000-000008120000}"/>
    <cellStyle name="Normal 4 2 2 3 2 2 2 6 2 2" xfId="15235" xr:uid="{3A378EAC-9924-4BF6-9B7A-323DDDB8813E}"/>
    <cellStyle name="Normal 4 2 2 3 2 2 2 6 3" xfId="11017" xr:uid="{260A83F6-88E7-44F5-894C-76E04E537954}"/>
    <cellStyle name="Normal 4 2 2 3 2 2 2 7" xfId="4720" xr:uid="{00000000-0005-0000-0000-000009120000}"/>
    <cellStyle name="Normal 4 2 2 3 2 2 2 7 2" xfId="13170" xr:uid="{71EF6FDB-212D-44D9-B62C-6D7A4BC1FB34}"/>
    <cellStyle name="Normal 4 2 2 3 2 2 2 8" xfId="8952" xr:uid="{D7DAA203-AA7C-44FF-84AE-74A0451759F7}"/>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D0E515BA-AB04-4801-95A0-0829FF584B2A}"/>
    <cellStyle name="Normal 4 2 2 3 2 2 3 2 3" xfId="11509" xr:uid="{E029564D-91BB-4835-8757-2AB616D97EEE}"/>
    <cellStyle name="Normal 4 2 2 3 2 2 3 3" xfId="5132" xr:uid="{00000000-0005-0000-0000-00000D120000}"/>
    <cellStyle name="Normal 4 2 2 3 2 2 3 3 2" xfId="13582" xr:uid="{D020F46C-73F5-410D-835A-FE8F50EC2B61}"/>
    <cellStyle name="Normal 4 2 2 3 2 2 3 4" xfId="9364" xr:uid="{FE2D87F6-9197-4359-817E-327FD8A05D5B}"/>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D9AF95EA-026F-4AE8-B944-993031167B97}"/>
    <cellStyle name="Normal 4 2 2 3 2 2 4 2 3" xfId="11922" xr:uid="{CA618BFF-12C3-412E-9AB8-F316566F89B5}"/>
    <cellStyle name="Normal 4 2 2 3 2 2 4 3" xfId="5545" xr:uid="{00000000-0005-0000-0000-000011120000}"/>
    <cellStyle name="Normal 4 2 2 3 2 2 4 3 2" xfId="13995" xr:uid="{42BFB4FC-BE53-45FE-A0A8-903B7C52C548}"/>
    <cellStyle name="Normal 4 2 2 3 2 2 4 4" xfId="9777" xr:uid="{097DF79E-28D4-4BAA-881B-D42CFDE7C40B}"/>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BC18B3E9-C0B1-4EB8-AABB-53DE00769E52}"/>
    <cellStyle name="Normal 4 2 2 3 2 2 5 2 3" xfId="12335" xr:uid="{CBE78F10-8566-4430-86D0-98F4AC786A31}"/>
    <cellStyle name="Normal 4 2 2 3 2 2 5 3" xfId="5958" xr:uid="{00000000-0005-0000-0000-000015120000}"/>
    <cellStyle name="Normal 4 2 2 3 2 2 5 3 2" xfId="14408" xr:uid="{57CFE962-33CB-41C5-831C-321E00781D98}"/>
    <cellStyle name="Normal 4 2 2 3 2 2 5 4" xfId="10190" xr:uid="{30992873-7A08-49FC-8A55-5E8BBA841C2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615A1A30-ECD9-4228-A3A1-0DC2F300DF0C}"/>
    <cellStyle name="Normal 4 2 2 3 2 2 6 2 3" xfId="12748" xr:uid="{A5762FB2-4E0F-432B-BF09-2F1498FFE464}"/>
    <cellStyle name="Normal 4 2 2 3 2 2 6 3" xfId="6371" xr:uid="{00000000-0005-0000-0000-000019120000}"/>
    <cellStyle name="Normal 4 2 2 3 2 2 6 3 2" xfId="14821" xr:uid="{0F9D32BB-4473-4581-B17E-2384BABA18A0}"/>
    <cellStyle name="Normal 4 2 2 3 2 2 6 4" xfId="10603" xr:uid="{96E1DAF1-B5F4-4B5C-BD11-774BB77EBFB3}"/>
    <cellStyle name="Normal 4 2 2 3 2 2 7" xfId="2501" xr:uid="{00000000-0005-0000-0000-00001A120000}"/>
    <cellStyle name="Normal 4 2 2 3 2 2 7 2" xfId="6784" xr:uid="{00000000-0005-0000-0000-00001B120000}"/>
    <cellStyle name="Normal 4 2 2 3 2 2 7 2 2" xfId="15234" xr:uid="{332D5209-F03D-42E4-BC66-47C0A3A39F0A}"/>
    <cellStyle name="Normal 4 2 2 3 2 2 7 3" xfId="11016" xr:uid="{8DCC671F-9C86-4072-884E-CE6D74915C6E}"/>
    <cellStyle name="Normal 4 2 2 3 2 2 8" xfId="4719" xr:uid="{00000000-0005-0000-0000-00001C120000}"/>
    <cellStyle name="Normal 4 2 2 3 2 2 8 2" xfId="13169" xr:uid="{C29E7ADC-A6ED-4273-A1A9-8A2BFBCC9D1C}"/>
    <cellStyle name="Normal 4 2 2 3 2 2 9" xfId="8951" xr:uid="{96AB9DD9-EE43-4A45-8FD7-C075ADE4E26A}"/>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FDC2762F-F811-4302-BDF2-1DA474C8A467}"/>
    <cellStyle name="Normal 4 2 2 3 2 3 2 2 3" xfId="11511" xr:uid="{99CEC25F-CC18-42BA-B52D-24FB0C86F7F4}"/>
    <cellStyle name="Normal 4 2 2 3 2 3 2 3" xfId="5134" xr:uid="{00000000-0005-0000-0000-000021120000}"/>
    <cellStyle name="Normal 4 2 2 3 2 3 2 3 2" xfId="13584" xr:uid="{671D794C-5BB4-4675-B303-DCF5A2E80D8A}"/>
    <cellStyle name="Normal 4 2 2 3 2 3 2 4" xfId="9366" xr:uid="{2212EE1E-D117-4F5E-A900-043D707D0872}"/>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49E6D368-C1CD-4832-8B74-DFCB42DA20D9}"/>
    <cellStyle name="Normal 4 2 2 3 2 3 3 2 3" xfId="11924" xr:uid="{8FE23C15-8EC5-4609-9845-AF3EA9888E15}"/>
    <cellStyle name="Normal 4 2 2 3 2 3 3 3" xfId="5547" xr:uid="{00000000-0005-0000-0000-000025120000}"/>
    <cellStyle name="Normal 4 2 2 3 2 3 3 3 2" xfId="13997" xr:uid="{C1EC83FE-0EA8-4CAE-AA20-DE4B116B42C2}"/>
    <cellStyle name="Normal 4 2 2 3 2 3 3 4" xfId="9779" xr:uid="{3838AF90-2EE9-4805-AD27-51BC341F7EB7}"/>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9D2F9C03-4C8C-4B5E-AD2A-61087D0F60D0}"/>
    <cellStyle name="Normal 4 2 2 3 2 3 4 2 3" xfId="12337" xr:uid="{408A1A5C-E0AA-4410-83BB-8F3E64179A07}"/>
    <cellStyle name="Normal 4 2 2 3 2 3 4 3" xfId="5960" xr:uid="{00000000-0005-0000-0000-000029120000}"/>
    <cellStyle name="Normal 4 2 2 3 2 3 4 3 2" xfId="14410" xr:uid="{BFCCB9B7-C23F-4BE0-B767-9743F1354333}"/>
    <cellStyle name="Normal 4 2 2 3 2 3 4 4" xfId="10192" xr:uid="{7E35A029-6379-416B-8016-40493D9907DF}"/>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B0A7CA3D-F48F-42D4-879D-2F12EEBF83A5}"/>
    <cellStyle name="Normal 4 2 2 3 2 3 5 2 3" xfId="12750" xr:uid="{2D166EDD-35AF-4C43-A5FC-2C06E45BFAC5}"/>
    <cellStyle name="Normal 4 2 2 3 2 3 5 3" xfId="6373" xr:uid="{00000000-0005-0000-0000-00002D120000}"/>
    <cellStyle name="Normal 4 2 2 3 2 3 5 3 2" xfId="14823" xr:uid="{5AFF1287-5ECC-4EBC-B922-D265099D15B6}"/>
    <cellStyle name="Normal 4 2 2 3 2 3 5 4" xfId="10605" xr:uid="{1B221171-3A75-4031-9E24-AA7AF4D648F8}"/>
    <cellStyle name="Normal 4 2 2 3 2 3 6" xfId="2503" xr:uid="{00000000-0005-0000-0000-00002E120000}"/>
    <cellStyle name="Normal 4 2 2 3 2 3 6 2" xfId="6786" xr:uid="{00000000-0005-0000-0000-00002F120000}"/>
    <cellStyle name="Normal 4 2 2 3 2 3 6 2 2" xfId="15236" xr:uid="{5913A0F2-0B5F-4A79-B8F5-2343E64D61D2}"/>
    <cellStyle name="Normal 4 2 2 3 2 3 6 3" xfId="11018" xr:uid="{37E3B2DC-116C-47A4-9412-F608222C9693}"/>
    <cellStyle name="Normal 4 2 2 3 2 3 7" xfId="4721" xr:uid="{00000000-0005-0000-0000-000030120000}"/>
    <cellStyle name="Normal 4 2 2 3 2 3 7 2" xfId="13171" xr:uid="{D8C15F76-7AD7-4ED2-AF8D-636C8F55319D}"/>
    <cellStyle name="Normal 4 2 2 3 2 3 8" xfId="8953" xr:uid="{E2F38FAE-9C6D-4B5E-9E42-1B2238347CCB}"/>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1F3FDA7F-BC8E-472A-B297-D43AA78F4B44}"/>
    <cellStyle name="Normal 4 2 2 3 2 4 2 3" xfId="11508" xr:uid="{215CAF27-FF6A-4C94-BA64-629E0A7F3CA9}"/>
    <cellStyle name="Normal 4 2 2 3 2 4 3" xfId="5131" xr:uid="{00000000-0005-0000-0000-000034120000}"/>
    <cellStyle name="Normal 4 2 2 3 2 4 3 2" xfId="13581" xr:uid="{4A4ABFA3-B5DB-4236-8487-4278D9FC6B5A}"/>
    <cellStyle name="Normal 4 2 2 3 2 4 4" xfId="9363" xr:uid="{22E4F652-F89D-482B-B3C2-8DA01214BCC8}"/>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D05D1270-8A79-40F0-A176-498E3FB3C6CD}"/>
    <cellStyle name="Normal 4 2 2 3 2 5 2 3" xfId="11921" xr:uid="{AFBBE519-D099-4932-B640-EFA6E63F0A4C}"/>
    <cellStyle name="Normal 4 2 2 3 2 5 3" xfId="5544" xr:uid="{00000000-0005-0000-0000-000038120000}"/>
    <cellStyle name="Normal 4 2 2 3 2 5 3 2" xfId="13994" xr:uid="{95EC5CA9-A6B2-4B92-9EEC-D70D75C994ED}"/>
    <cellStyle name="Normal 4 2 2 3 2 5 4" xfId="9776" xr:uid="{B6FCCCBB-D8AA-4C9D-B1F1-614830D0389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EB56DE65-2675-4175-89DF-1E0BDBCB7F77}"/>
    <cellStyle name="Normal 4 2 2 3 2 6 2 3" xfId="12334" xr:uid="{140E6AE1-0A08-4F8B-B8F0-A13D5E7A6182}"/>
    <cellStyle name="Normal 4 2 2 3 2 6 3" xfId="5957" xr:uid="{00000000-0005-0000-0000-00003C120000}"/>
    <cellStyle name="Normal 4 2 2 3 2 6 3 2" xfId="14407" xr:uid="{DC88DA51-C16F-433C-B822-8A11EA96D81D}"/>
    <cellStyle name="Normal 4 2 2 3 2 6 4" xfId="10189" xr:uid="{C9A2F3A1-4F2E-49B2-B5CF-0AF7DAD68058}"/>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1061C177-5CA1-4298-841E-AAAE3FED8428}"/>
    <cellStyle name="Normal 4 2 2 3 2 7 2 3" xfId="12747" xr:uid="{57401470-D16F-474C-9807-E566596FC76F}"/>
    <cellStyle name="Normal 4 2 2 3 2 7 3" xfId="6370" xr:uid="{00000000-0005-0000-0000-000040120000}"/>
    <cellStyle name="Normal 4 2 2 3 2 7 3 2" xfId="14820" xr:uid="{225C1545-2FBD-4B8E-A94A-AA87CCC35FE3}"/>
    <cellStyle name="Normal 4 2 2 3 2 7 4" xfId="10602" xr:uid="{31CAC7C8-2544-4D7D-ACA5-209A6BF82478}"/>
    <cellStyle name="Normal 4 2 2 3 2 8" xfId="2500" xr:uid="{00000000-0005-0000-0000-000041120000}"/>
    <cellStyle name="Normal 4 2 2 3 2 8 2" xfId="6783" xr:uid="{00000000-0005-0000-0000-000042120000}"/>
    <cellStyle name="Normal 4 2 2 3 2 8 2 2" xfId="15233" xr:uid="{1A9DF490-D136-42A8-924D-9ABFE0556CB4}"/>
    <cellStyle name="Normal 4 2 2 3 2 8 3" xfId="11015" xr:uid="{826CC257-4A1B-43B1-9705-3BA72E2F9DA9}"/>
    <cellStyle name="Normal 4 2 2 3 2 9" xfId="4718" xr:uid="{00000000-0005-0000-0000-000043120000}"/>
    <cellStyle name="Normal 4 2 2 3 2 9 2" xfId="13168" xr:uid="{0A5E4F8B-18AB-436A-B628-DE1CDEFB442C}"/>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63E60CDA-FACC-4E13-A331-7821ACCB08D3}"/>
    <cellStyle name="Normal 4 2 2 3 3 2 2 2 3" xfId="11513" xr:uid="{AC04FC4E-6348-41DC-A01D-3706A00546B6}"/>
    <cellStyle name="Normal 4 2 2 3 3 2 2 3" xfId="5136" xr:uid="{00000000-0005-0000-0000-000049120000}"/>
    <cellStyle name="Normal 4 2 2 3 3 2 2 3 2" xfId="13586" xr:uid="{868D09AE-AC84-4A7C-9C79-ECE516A7A5FB}"/>
    <cellStyle name="Normal 4 2 2 3 3 2 2 4" xfId="9368" xr:uid="{A141AF77-F764-41A5-BE2E-36C3EA2096F5}"/>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F0A85CD8-BDD0-41A4-B8E8-A93AE87ADD01}"/>
    <cellStyle name="Normal 4 2 2 3 3 2 3 2 3" xfId="11926" xr:uid="{6504D8E9-4941-4E4E-B597-F3495CB986AF}"/>
    <cellStyle name="Normal 4 2 2 3 3 2 3 3" xfId="5549" xr:uid="{00000000-0005-0000-0000-00004D120000}"/>
    <cellStyle name="Normal 4 2 2 3 3 2 3 3 2" xfId="13999" xr:uid="{BB9370F0-20B3-4D1B-B8F7-47B82AE92721}"/>
    <cellStyle name="Normal 4 2 2 3 3 2 3 4" xfId="9781" xr:uid="{C152F168-AE9B-4B4B-AB71-705CD8A7B2A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C079DF11-039D-4A39-9FB0-CFE06DC67CAB}"/>
    <cellStyle name="Normal 4 2 2 3 3 2 4 2 3" xfId="12339" xr:uid="{25161893-D538-4AFC-B8C3-F491005A61DD}"/>
    <cellStyle name="Normal 4 2 2 3 3 2 4 3" xfId="5962" xr:uid="{00000000-0005-0000-0000-000051120000}"/>
    <cellStyle name="Normal 4 2 2 3 3 2 4 3 2" xfId="14412" xr:uid="{1536DEDA-FB8D-42CE-863B-6D42721EDD79}"/>
    <cellStyle name="Normal 4 2 2 3 3 2 4 4" xfId="10194" xr:uid="{A74910DB-71BA-4AFA-9CC0-A532F5980DF2}"/>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C1068801-9ABC-46CA-A87D-B2036F6AF139}"/>
    <cellStyle name="Normal 4 2 2 3 3 2 5 2 3" xfId="12752" xr:uid="{DEAFFE90-F0CD-478B-89B4-2300650B1BF3}"/>
    <cellStyle name="Normal 4 2 2 3 3 2 5 3" xfId="6375" xr:uid="{00000000-0005-0000-0000-000055120000}"/>
    <cellStyle name="Normal 4 2 2 3 3 2 5 3 2" xfId="14825" xr:uid="{D31A3B77-3558-4D78-8F85-E715AD66DE9E}"/>
    <cellStyle name="Normal 4 2 2 3 3 2 5 4" xfId="10607" xr:uid="{C30A43F4-7841-44D7-A92B-D46E505D91F7}"/>
    <cellStyle name="Normal 4 2 2 3 3 2 6" xfId="2505" xr:uid="{00000000-0005-0000-0000-000056120000}"/>
    <cellStyle name="Normal 4 2 2 3 3 2 6 2" xfId="6788" xr:uid="{00000000-0005-0000-0000-000057120000}"/>
    <cellStyle name="Normal 4 2 2 3 3 2 6 2 2" xfId="15238" xr:uid="{0C797B0C-B975-4F9A-9F5C-8DE322E11698}"/>
    <cellStyle name="Normal 4 2 2 3 3 2 6 3" xfId="11020" xr:uid="{DF71663F-E431-4114-A863-9B84E70E6DA4}"/>
    <cellStyle name="Normal 4 2 2 3 3 2 7" xfId="4723" xr:uid="{00000000-0005-0000-0000-000058120000}"/>
    <cellStyle name="Normal 4 2 2 3 3 2 7 2" xfId="13173" xr:uid="{2B72B26B-20DF-4455-B0E9-1BF4B5817AB8}"/>
    <cellStyle name="Normal 4 2 2 3 3 2 8" xfId="8955" xr:uid="{D32ED19B-9C47-49F4-8591-D661BDF9FC72}"/>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AE940D50-C0EF-42BD-8549-1FC005F9B1AB}"/>
    <cellStyle name="Normal 4 2 2 3 3 3 2 3" xfId="11512" xr:uid="{E68B2D0E-40EC-4ED9-9D12-7BD6B912B9E2}"/>
    <cellStyle name="Normal 4 2 2 3 3 3 3" xfId="5135" xr:uid="{00000000-0005-0000-0000-00005C120000}"/>
    <cellStyle name="Normal 4 2 2 3 3 3 3 2" xfId="13585" xr:uid="{83DFE58B-F1BA-4635-8FD6-24D2ACD36C6B}"/>
    <cellStyle name="Normal 4 2 2 3 3 3 4" xfId="9367" xr:uid="{6E813166-24DC-4541-A963-C0F5786C69EB}"/>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7A43466D-4603-4771-8CBA-CB8920A3E019}"/>
    <cellStyle name="Normal 4 2 2 3 3 4 2 3" xfId="11925" xr:uid="{BC2F84C4-08BB-4325-8748-CAD0D0CA7054}"/>
    <cellStyle name="Normal 4 2 2 3 3 4 3" xfId="5548" xr:uid="{00000000-0005-0000-0000-000060120000}"/>
    <cellStyle name="Normal 4 2 2 3 3 4 3 2" xfId="13998" xr:uid="{8BCDC504-8139-45D3-835C-3DF6FC8CE8EC}"/>
    <cellStyle name="Normal 4 2 2 3 3 4 4" xfId="9780" xr:uid="{C3B12B12-3720-4D1F-AF9C-8AA444FCECFF}"/>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9DFC8EA1-8DE6-4079-A623-6C90A756351D}"/>
    <cellStyle name="Normal 4 2 2 3 3 5 2 3" xfId="12338" xr:uid="{54E40229-8821-4E57-8903-5C54DA5D2557}"/>
    <cellStyle name="Normal 4 2 2 3 3 5 3" xfId="5961" xr:uid="{00000000-0005-0000-0000-000064120000}"/>
    <cellStyle name="Normal 4 2 2 3 3 5 3 2" xfId="14411" xr:uid="{944BFB9B-CDC9-4B2D-9BD7-154A41DF07BD}"/>
    <cellStyle name="Normal 4 2 2 3 3 5 4" xfId="10193" xr:uid="{3FDC446F-0FFF-437A-A9A5-F9A0E753AD47}"/>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A23E4913-D1DD-4BBE-884A-C1EEF21BAE60}"/>
    <cellStyle name="Normal 4 2 2 3 3 6 2 3" xfId="12751" xr:uid="{54C41799-9AEF-4E2A-AE7B-92ABAF590609}"/>
    <cellStyle name="Normal 4 2 2 3 3 6 3" xfId="6374" xr:uid="{00000000-0005-0000-0000-000068120000}"/>
    <cellStyle name="Normal 4 2 2 3 3 6 3 2" xfId="14824" xr:uid="{D490E812-BD8C-45A2-83EE-B7C58B6BAC1C}"/>
    <cellStyle name="Normal 4 2 2 3 3 6 4" xfId="10606" xr:uid="{950A08BF-D2B9-4F24-8B9F-4CED8FA130A3}"/>
    <cellStyle name="Normal 4 2 2 3 3 7" xfId="2504" xr:uid="{00000000-0005-0000-0000-000069120000}"/>
    <cellStyle name="Normal 4 2 2 3 3 7 2" xfId="6787" xr:uid="{00000000-0005-0000-0000-00006A120000}"/>
    <cellStyle name="Normal 4 2 2 3 3 7 2 2" xfId="15237" xr:uid="{24972733-3300-4615-B517-B71BEBE45562}"/>
    <cellStyle name="Normal 4 2 2 3 3 7 3" xfId="11019" xr:uid="{2E4A1FF4-E2F4-416F-9410-B3C8E7590ECA}"/>
    <cellStyle name="Normal 4 2 2 3 3 8" xfId="4722" xr:uid="{00000000-0005-0000-0000-00006B120000}"/>
    <cellStyle name="Normal 4 2 2 3 3 8 2" xfId="13172" xr:uid="{6B8EE46A-B1C1-49F7-8F5A-6FFB092A71C1}"/>
    <cellStyle name="Normal 4 2 2 3 3 9" xfId="8954" xr:uid="{3EC40C39-DE65-4C4C-B077-B05116045261}"/>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77F7F0E6-72A1-439E-BF58-2FA0BF22723B}"/>
    <cellStyle name="Normal 4 2 2 3 4 2 2 3" xfId="11514" xr:uid="{EE05009E-D792-45DD-B5F6-81AEC41528B0}"/>
    <cellStyle name="Normal 4 2 2 3 4 2 3" xfId="5137" xr:uid="{00000000-0005-0000-0000-000070120000}"/>
    <cellStyle name="Normal 4 2 2 3 4 2 3 2" xfId="13587" xr:uid="{4B94E829-A509-4884-A865-244A192A9FC4}"/>
    <cellStyle name="Normal 4 2 2 3 4 2 4" xfId="9369" xr:uid="{5682E082-61F2-4642-8C72-38FB03FA2732}"/>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FBFB96A7-AA05-42F0-BC83-A1EEB8D15A67}"/>
    <cellStyle name="Normal 4 2 2 3 4 3 2 3" xfId="11927" xr:uid="{332F9B4E-E767-4E9C-B608-F18FBAE640E4}"/>
    <cellStyle name="Normal 4 2 2 3 4 3 3" xfId="5550" xr:uid="{00000000-0005-0000-0000-000074120000}"/>
    <cellStyle name="Normal 4 2 2 3 4 3 3 2" xfId="14000" xr:uid="{6D2C4551-FE60-4EF9-8A56-784CE0509FB9}"/>
    <cellStyle name="Normal 4 2 2 3 4 3 4" xfId="9782" xr:uid="{0C55723C-6438-4DEC-B18E-491223FDDF4C}"/>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57B43349-AF3A-4221-9039-3F2C09105B33}"/>
    <cellStyle name="Normal 4 2 2 3 4 4 2 3" xfId="12340" xr:uid="{4008E79A-AC1D-4D15-BA40-CDC1C26960D0}"/>
    <cellStyle name="Normal 4 2 2 3 4 4 3" xfId="5963" xr:uid="{00000000-0005-0000-0000-000078120000}"/>
    <cellStyle name="Normal 4 2 2 3 4 4 3 2" xfId="14413" xr:uid="{232CB48E-1AD8-4F0A-9C68-F6BC03292DBE}"/>
    <cellStyle name="Normal 4 2 2 3 4 4 4" xfId="10195" xr:uid="{C67D5930-0AAF-48D4-9E2D-E378937173F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6C4A292F-9FE9-4ABD-BF79-1336056A7350}"/>
    <cellStyle name="Normal 4 2 2 3 4 5 2 3" xfId="12753" xr:uid="{87AA48A5-28A3-4DAB-B60C-1E9CFFCF6DDF}"/>
    <cellStyle name="Normal 4 2 2 3 4 5 3" xfId="6376" xr:uid="{00000000-0005-0000-0000-00007C120000}"/>
    <cellStyle name="Normal 4 2 2 3 4 5 3 2" xfId="14826" xr:uid="{788F2CC7-5A9A-4D12-B665-6534D3EEEDE2}"/>
    <cellStyle name="Normal 4 2 2 3 4 5 4" xfId="10608" xr:uid="{DDE79D8C-FEC6-44CF-A412-6CB5712F6753}"/>
    <cellStyle name="Normal 4 2 2 3 4 6" xfId="2506" xr:uid="{00000000-0005-0000-0000-00007D120000}"/>
    <cellStyle name="Normal 4 2 2 3 4 6 2" xfId="6789" xr:uid="{00000000-0005-0000-0000-00007E120000}"/>
    <cellStyle name="Normal 4 2 2 3 4 6 2 2" xfId="15239" xr:uid="{D45E5C59-9F2A-458B-A144-833034C403C7}"/>
    <cellStyle name="Normal 4 2 2 3 4 6 3" xfId="11021" xr:uid="{3EE0269D-4863-435F-82D0-77EECFF66A0A}"/>
    <cellStyle name="Normal 4 2 2 3 4 7" xfId="4724" xr:uid="{00000000-0005-0000-0000-00007F120000}"/>
    <cellStyle name="Normal 4 2 2 3 4 7 2" xfId="13174" xr:uid="{407BFBD6-3EBB-4EE1-A3AE-85C30F9239AD}"/>
    <cellStyle name="Normal 4 2 2 3 4 8" xfId="8956" xr:uid="{4524D9EE-EB55-4D32-BF51-911A5DD84B38}"/>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66B891A6-76FE-41B2-8AA8-BD1F861DBFEA}"/>
    <cellStyle name="Normal 4 2 2 3 5 2 3" xfId="11507" xr:uid="{72E5D13E-00FD-4649-884A-4F4A86DE0ED6}"/>
    <cellStyle name="Normal 4 2 2 3 5 3" xfId="5130" xr:uid="{00000000-0005-0000-0000-000083120000}"/>
    <cellStyle name="Normal 4 2 2 3 5 3 2" xfId="13580" xr:uid="{2C685D71-940B-4CE0-A1F6-E1B07A0C0AA1}"/>
    <cellStyle name="Normal 4 2 2 3 5 4" xfId="9362" xr:uid="{C24F55C9-3B98-486D-A251-042C4E229524}"/>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1EC6807C-14DE-4180-9E76-E1D933FACE8D}"/>
    <cellStyle name="Normal 4 2 2 3 6 2 3" xfId="11920" xr:uid="{004D476D-7BD2-4073-87FE-2FB4AD846161}"/>
    <cellStyle name="Normal 4 2 2 3 6 3" xfId="5543" xr:uid="{00000000-0005-0000-0000-000087120000}"/>
    <cellStyle name="Normal 4 2 2 3 6 3 2" xfId="13993" xr:uid="{A836AEEC-C6B9-4283-8FD3-ADA9BC2B45CA}"/>
    <cellStyle name="Normal 4 2 2 3 6 4" xfId="9775" xr:uid="{5600CBDE-7F18-44F0-9CB4-C0612D914984}"/>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5677CE5C-2F2A-4C51-90E1-891E95F6E938}"/>
    <cellStyle name="Normal 4 2 2 3 7 2 3" xfId="12333" xr:uid="{3DF802AC-B8FF-48BF-A0F5-E502063B4DBB}"/>
    <cellStyle name="Normal 4 2 2 3 7 3" xfId="5956" xr:uid="{00000000-0005-0000-0000-00008B120000}"/>
    <cellStyle name="Normal 4 2 2 3 7 3 2" xfId="14406" xr:uid="{3A14A3F6-622D-4200-9F5D-9EAE00215C87}"/>
    <cellStyle name="Normal 4 2 2 3 7 4" xfId="10188" xr:uid="{A6750375-5D59-4F9F-A716-192F7F8EEC04}"/>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92FBC2CF-752D-4F9F-84B2-EF4265241BCD}"/>
    <cellStyle name="Normal 4 2 2 3 8 2 3" xfId="12746" xr:uid="{A10E43EE-1271-4F2F-AC71-04243901D8FE}"/>
    <cellStyle name="Normal 4 2 2 3 8 3" xfId="6369" xr:uid="{00000000-0005-0000-0000-00008F120000}"/>
    <cellStyle name="Normal 4 2 2 3 8 3 2" xfId="14819" xr:uid="{831C606A-B940-4DBF-8E67-DFB081575646}"/>
    <cellStyle name="Normal 4 2 2 3 8 4" xfId="10601" xr:uid="{534788DC-11A8-461A-8162-D594F705C49E}"/>
    <cellStyle name="Normal 4 2 2 3 9" xfId="2499" xr:uid="{00000000-0005-0000-0000-000090120000}"/>
    <cellStyle name="Normal 4 2 2 3 9 2" xfId="6782" xr:uid="{00000000-0005-0000-0000-000091120000}"/>
    <cellStyle name="Normal 4 2 2 3 9 2 2" xfId="15232" xr:uid="{7B03B740-38D7-47D7-B60C-3DAA70BF6101}"/>
    <cellStyle name="Normal 4 2 2 3 9 3" xfId="11014" xr:uid="{2B708D70-FCAA-4D89-B5D2-19962E6537E3}"/>
    <cellStyle name="Normal 4 2 2 4" xfId="347" xr:uid="{00000000-0005-0000-0000-000092120000}"/>
    <cellStyle name="Normal 4 2 2 4 10" xfId="8957" xr:uid="{F8F5DCB0-D3CC-4B3D-9BBE-65A0DD01FDB1}"/>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2B806C5D-60C4-4808-85CC-A2B87B9F18AC}"/>
    <cellStyle name="Normal 4 2 2 4 2 2 2 2 3" xfId="11517" xr:uid="{2A8A16D6-EFF1-450B-B91E-F0479028D4CB}"/>
    <cellStyle name="Normal 4 2 2 4 2 2 2 3" xfId="5140" xr:uid="{00000000-0005-0000-0000-000098120000}"/>
    <cellStyle name="Normal 4 2 2 4 2 2 2 3 2" xfId="13590" xr:uid="{C598ED93-01A6-4114-ABDC-1246FEB44ECE}"/>
    <cellStyle name="Normal 4 2 2 4 2 2 2 4" xfId="9372" xr:uid="{E6DCC72B-D03E-4212-9E5D-1D6FE764E77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5EA36571-6BA5-4D27-B5B4-A7480ED0BDB7}"/>
    <cellStyle name="Normal 4 2 2 4 2 2 3 2 3" xfId="11930" xr:uid="{7196F66E-646A-40F1-A449-33EE252353DB}"/>
    <cellStyle name="Normal 4 2 2 4 2 2 3 3" xfId="5553" xr:uid="{00000000-0005-0000-0000-00009C120000}"/>
    <cellStyle name="Normal 4 2 2 4 2 2 3 3 2" xfId="14003" xr:uid="{FCD2558C-BA3B-472E-8AE7-16AA763DE236}"/>
    <cellStyle name="Normal 4 2 2 4 2 2 3 4" xfId="9785" xr:uid="{A5515CE3-B2FA-480C-A271-7CDFD76F557A}"/>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2C865990-639C-4B81-8BBE-A420B740D419}"/>
    <cellStyle name="Normal 4 2 2 4 2 2 4 2 3" xfId="12343" xr:uid="{1472A6EE-9670-428B-B705-4AB8DE23D370}"/>
    <cellStyle name="Normal 4 2 2 4 2 2 4 3" xfId="5966" xr:uid="{00000000-0005-0000-0000-0000A0120000}"/>
    <cellStyle name="Normal 4 2 2 4 2 2 4 3 2" xfId="14416" xr:uid="{101E3167-C65D-4040-B26C-01A410F73B8F}"/>
    <cellStyle name="Normal 4 2 2 4 2 2 4 4" xfId="10198" xr:uid="{05C38271-4DFC-4E6F-AD05-F5C0CC695F22}"/>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D6F69E82-6858-4A93-9812-F93878872B89}"/>
    <cellStyle name="Normal 4 2 2 4 2 2 5 2 3" xfId="12756" xr:uid="{EDFD6398-CA42-42CC-8305-9432B4575D13}"/>
    <cellStyle name="Normal 4 2 2 4 2 2 5 3" xfId="6379" xr:uid="{00000000-0005-0000-0000-0000A4120000}"/>
    <cellStyle name="Normal 4 2 2 4 2 2 5 3 2" xfId="14829" xr:uid="{377E571A-25CD-4E8B-837F-FE97DD7F3A57}"/>
    <cellStyle name="Normal 4 2 2 4 2 2 5 4" xfId="10611" xr:uid="{9FB28A91-5589-4A21-84CA-8D6B9B32B0A5}"/>
    <cellStyle name="Normal 4 2 2 4 2 2 6" xfId="2509" xr:uid="{00000000-0005-0000-0000-0000A5120000}"/>
    <cellStyle name="Normal 4 2 2 4 2 2 6 2" xfId="6792" xr:uid="{00000000-0005-0000-0000-0000A6120000}"/>
    <cellStyle name="Normal 4 2 2 4 2 2 6 2 2" xfId="15242" xr:uid="{A06CC809-799F-4906-AAD1-49F9E7F962D7}"/>
    <cellStyle name="Normal 4 2 2 4 2 2 6 3" xfId="11024" xr:uid="{828130B2-2826-40E7-ADD5-59D90644FD73}"/>
    <cellStyle name="Normal 4 2 2 4 2 2 7" xfId="4727" xr:uid="{00000000-0005-0000-0000-0000A7120000}"/>
    <cellStyle name="Normal 4 2 2 4 2 2 7 2" xfId="13177" xr:uid="{537C1FEA-79BE-4118-AAE9-9991B39190A0}"/>
    <cellStyle name="Normal 4 2 2 4 2 2 8" xfId="8959" xr:uid="{F7C818F2-6CEA-4EE9-8536-1332137635FC}"/>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808C72E0-8D88-4E2D-885E-55ECA06EC164}"/>
    <cellStyle name="Normal 4 2 2 4 2 3 2 3" xfId="11516" xr:uid="{274D26AC-D842-4A06-AA3E-5A2A36E45715}"/>
    <cellStyle name="Normal 4 2 2 4 2 3 3" xfId="5139" xr:uid="{00000000-0005-0000-0000-0000AB120000}"/>
    <cellStyle name="Normal 4 2 2 4 2 3 3 2" xfId="13589" xr:uid="{8022A008-C19A-48CE-808E-482543BDBCA7}"/>
    <cellStyle name="Normal 4 2 2 4 2 3 4" xfId="9371" xr:uid="{B3F50499-68CC-4FA5-B848-3CED9A7B5A43}"/>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9D907911-DDEC-4DB7-95D2-E7099EB79025}"/>
    <cellStyle name="Normal 4 2 2 4 2 4 2 3" xfId="11929" xr:uid="{E6857192-FE5A-4FD8-9D41-344F3D1412B6}"/>
    <cellStyle name="Normal 4 2 2 4 2 4 3" xfId="5552" xr:uid="{00000000-0005-0000-0000-0000AF120000}"/>
    <cellStyle name="Normal 4 2 2 4 2 4 3 2" xfId="14002" xr:uid="{02F87E0C-72A5-4860-8D01-EA5742D03996}"/>
    <cellStyle name="Normal 4 2 2 4 2 4 4" xfId="9784" xr:uid="{B02282AB-C5D4-4374-B84F-1644A156DBE7}"/>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09C7E73C-8B13-411E-872B-8B54CD59C6A2}"/>
    <cellStyle name="Normal 4 2 2 4 2 5 2 3" xfId="12342" xr:uid="{CF20790A-11FC-4E4C-AEAB-FA183816E292}"/>
    <cellStyle name="Normal 4 2 2 4 2 5 3" xfId="5965" xr:uid="{00000000-0005-0000-0000-0000B3120000}"/>
    <cellStyle name="Normal 4 2 2 4 2 5 3 2" xfId="14415" xr:uid="{324DA401-4F91-4DB3-BB27-08AE78DA8DB3}"/>
    <cellStyle name="Normal 4 2 2 4 2 5 4" xfId="10197" xr:uid="{DB4F48BC-103C-4F80-B017-3FA2764C4563}"/>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93B8F5CA-B06D-4381-B68C-7F324635942C}"/>
    <cellStyle name="Normal 4 2 2 4 2 6 2 3" xfId="12755" xr:uid="{66DA9CDE-99AE-4138-82D9-F319CE0AC97F}"/>
    <cellStyle name="Normal 4 2 2 4 2 6 3" xfId="6378" xr:uid="{00000000-0005-0000-0000-0000B7120000}"/>
    <cellStyle name="Normal 4 2 2 4 2 6 3 2" xfId="14828" xr:uid="{98FC9D1C-84AD-43C1-8455-04C612D3C7EF}"/>
    <cellStyle name="Normal 4 2 2 4 2 6 4" xfId="10610" xr:uid="{EE8FC9B2-097F-4ACA-9826-31230CAEF75E}"/>
    <cellStyle name="Normal 4 2 2 4 2 7" xfId="2508" xr:uid="{00000000-0005-0000-0000-0000B8120000}"/>
    <cellStyle name="Normal 4 2 2 4 2 7 2" xfId="6791" xr:uid="{00000000-0005-0000-0000-0000B9120000}"/>
    <cellStyle name="Normal 4 2 2 4 2 7 2 2" xfId="15241" xr:uid="{34BE61A0-69A6-4BE6-A41E-BFB17E3E6E4E}"/>
    <cellStyle name="Normal 4 2 2 4 2 7 3" xfId="11023" xr:uid="{E812C1B4-37AA-4DCA-BE94-8BBE90A85B99}"/>
    <cellStyle name="Normal 4 2 2 4 2 8" xfId="4726" xr:uid="{00000000-0005-0000-0000-0000BA120000}"/>
    <cellStyle name="Normal 4 2 2 4 2 8 2" xfId="13176" xr:uid="{85018C42-1C83-4699-95E8-EECDF9D9A695}"/>
    <cellStyle name="Normal 4 2 2 4 2 9" xfId="8958" xr:uid="{333B9226-9BC3-4625-B107-73DA176814DB}"/>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0D6E8BE4-10DF-4D59-AE6D-F1C34B673647}"/>
    <cellStyle name="Normal 4 2 2 4 3 2 2 3" xfId="11518" xr:uid="{C6F6A1BE-AAF8-4146-9804-DA4E172757E7}"/>
    <cellStyle name="Normal 4 2 2 4 3 2 3" xfId="5141" xr:uid="{00000000-0005-0000-0000-0000BF120000}"/>
    <cellStyle name="Normal 4 2 2 4 3 2 3 2" xfId="13591" xr:uid="{51AC7C20-8325-49A2-A786-9E1106A0BFC9}"/>
    <cellStyle name="Normal 4 2 2 4 3 2 4" xfId="9373" xr:uid="{777E3837-16B1-4802-AE1B-912942F95EE9}"/>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D203B566-C313-4069-9211-AED0D12243B6}"/>
    <cellStyle name="Normal 4 2 2 4 3 3 2 3" xfId="11931" xr:uid="{DC531D0B-B128-40A5-9F8F-32B738261019}"/>
    <cellStyle name="Normal 4 2 2 4 3 3 3" xfId="5554" xr:uid="{00000000-0005-0000-0000-0000C3120000}"/>
    <cellStyle name="Normal 4 2 2 4 3 3 3 2" xfId="14004" xr:uid="{BB4E57FC-75DB-47A1-A2D8-26F6009F4B4C}"/>
    <cellStyle name="Normal 4 2 2 4 3 3 4" xfId="9786" xr:uid="{1C2228CC-22CE-4D75-BDF4-4E5157882DCB}"/>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1678B126-7A23-41F2-953A-850860B08CAA}"/>
    <cellStyle name="Normal 4 2 2 4 3 4 2 3" xfId="12344" xr:uid="{184FCF81-7184-4662-BE0F-194C381C7634}"/>
    <cellStyle name="Normal 4 2 2 4 3 4 3" xfId="5967" xr:uid="{00000000-0005-0000-0000-0000C7120000}"/>
    <cellStyle name="Normal 4 2 2 4 3 4 3 2" xfId="14417" xr:uid="{A1B15F57-434A-4DE1-9B45-656B0BB596E4}"/>
    <cellStyle name="Normal 4 2 2 4 3 4 4" xfId="10199" xr:uid="{E465821E-68AA-4DA2-92C5-F7FF9D151F4D}"/>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890D7784-8BB5-4029-A229-047B58A3143A}"/>
    <cellStyle name="Normal 4 2 2 4 3 5 2 3" xfId="12757" xr:uid="{B8FA1418-4274-475F-9406-8B41D8C73E03}"/>
    <cellStyle name="Normal 4 2 2 4 3 5 3" xfId="6380" xr:uid="{00000000-0005-0000-0000-0000CB120000}"/>
    <cellStyle name="Normal 4 2 2 4 3 5 3 2" xfId="14830" xr:uid="{D4D096D4-3B18-4F70-A343-6F75C6FB4925}"/>
    <cellStyle name="Normal 4 2 2 4 3 5 4" xfId="10612" xr:uid="{4F174904-8293-4563-93A4-4EFC29938B52}"/>
    <cellStyle name="Normal 4 2 2 4 3 6" xfId="2510" xr:uid="{00000000-0005-0000-0000-0000CC120000}"/>
    <cellStyle name="Normal 4 2 2 4 3 6 2" xfId="6793" xr:uid="{00000000-0005-0000-0000-0000CD120000}"/>
    <cellStyle name="Normal 4 2 2 4 3 6 2 2" xfId="15243" xr:uid="{EE381592-4E5A-45DD-B0B3-9E0E828441DA}"/>
    <cellStyle name="Normal 4 2 2 4 3 6 3" xfId="11025" xr:uid="{4F984508-B487-47B2-8E0D-A95979DCC7D0}"/>
    <cellStyle name="Normal 4 2 2 4 3 7" xfId="4728" xr:uid="{00000000-0005-0000-0000-0000CE120000}"/>
    <cellStyle name="Normal 4 2 2 4 3 7 2" xfId="13178" xr:uid="{285E24EF-4C60-4DFD-B634-E3E6A1C1732B}"/>
    <cellStyle name="Normal 4 2 2 4 3 8" xfId="8960" xr:uid="{27F293F9-768E-459A-9A1A-0409926E05D7}"/>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50A077CF-3F9E-457B-AC62-A5868F594B99}"/>
    <cellStyle name="Normal 4 2 2 4 4 2 3" xfId="11515" xr:uid="{B1183A48-6D1C-49F5-ADCC-322AEBD4C032}"/>
    <cellStyle name="Normal 4 2 2 4 4 3" xfId="5138" xr:uid="{00000000-0005-0000-0000-0000D2120000}"/>
    <cellStyle name="Normal 4 2 2 4 4 3 2" xfId="13588" xr:uid="{1D35EFD0-7AD5-4F37-B938-6762D760BE05}"/>
    <cellStyle name="Normal 4 2 2 4 4 4" xfId="9370" xr:uid="{1B95F9D4-AA80-4888-93FB-7E4CDAF7D50E}"/>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04427688-FA51-4904-9D4A-55D8F00AD76B}"/>
    <cellStyle name="Normal 4 2 2 4 5 2 3" xfId="11928" xr:uid="{6FB73C05-92E2-4AA2-8896-EE5D4BD0C2FA}"/>
    <cellStyle name="Normal 4 2 2 4 5 3" xfId="5551" xr:uid="{00000000-0005-0000-0000-0000D6120000}"/>
    <cellStyle name="Normal 4 2 2 4 5 3 2" xfId="14001" xr:uid="{174C7C15-92F7-4530-92AD-E434049E4AC3}"/>
    <cellStyle name="Normal 4 2 2 4 5 4" xfId="9783" xr:uid="{BD252739-6212-494E-A2C6-5FCD81765919}"/>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48C06377-74F7-4A57-B5C6-EB983DA31D8E}"/>
    <cellStyle name="Normal 4 2 2 4 6 2 3" xfId="12341" xr:uid="{F33AB3F9-A670-4347-8E9F-3E32F79B4C35}"/>
    <cellStyle name="Normal 4 2 2 4 6 3" xfId="5964" xr:uid="{00000000-0005-0000-0000-0000DA120000}"/>
    <cellStyle name="Normal 4 2 2 4 6 3 2" xfId="14414" xr:uid="{666A0541-66E8-4E2C-A134-026CD0CBEFD6}"/>
    <cellStyle name="Normal 4 2 2 4 6 4" xfId="10196" xr:uid="{6C6B9263-9FFF-44EA-99EE-8303908FA147}"/>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6F24E999-D180-45DD-B949-E1D81BFFC149}"/>
    <cellStyle name="Normal 4 2 2 4 7 2 3" xfId="12754" xr:uid="{5C70ECD1-B7E3-49FE-ADFA-238D8A9451F5}"/>
    <cellStyle name="Normal 4 2 2 4 7 3" xfId="6377" xr:uid="{00000000-0005-0000-0000-0000DE120000}"/>
    <cellStyle name="Normal 4 2 2 4 7 3 2" xfId="14827" xr:uid="{3CF2DF39-01BC-440A-A959-DE5D4B089AD0}"/>
    <cellStyle name="Normal 4 2 2 4 7 4" xfId="10609" xr:uid="{8FF859D6-E734-487F-ACC7-9A0D63D06F81}"/>
    <cellStyle name="Normal 4 2 2 4 8" xfId="2507" xr:uid="{00000000-0005-0000-0000-0000DF120000}"/>
    <cellStyle name="Normal 4 2 2 4 8 2" xfId="6790" xr:uid="{00000000-0005-0000-0000-0000E0120000}"/>
    <cellStyle name="Normal 4 2 2 4 8 2 2" xfId="15240" xr:uid="{5A75491E-FFA9-4F95-B58A-769D04A70541}"/>
    <cellStyle name="Normal 4 2 2 4 8 3" xfId="11022" xr:uid="{C573577E-D00E-4FFF-A94E-73C83360B403}"/>
    <cellStyle name="Normal 4 2 2 4 9" xfId="4725" xr:uid="{00000000-0005-0000-0000-0000E1120000}"/>
    <cellStyle name="Normal 4 2 2 4 9 2" xfId="13175" xr:uid="{6082B472-33CD-40FC-8394-95208A89620A}"/>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76CCCD10-7C8C-4F9E-9459-B09A014DB069}"/>
    <cellStyle name="Normal 4 2 2 5 2 2 2 3" xfId="11520" xr:uid="{38AAA5C2-4B5B-4DA2-85C3-AAB724A3DDB4}"/>
    <cellStyle name="Normal 4 2 2 5 2 2 3" xfId="5143" xr:uid="{00000000-0005-0000-0000-0000E7120000}"/>
    <cellStyle name="Normal 4 2 2 5 2 2 3 2" xfId="13593" xr:uid="{A8785F6B-BCDF-4F64-851A-DE90D5A1428C}"/>
    <cellStyle name="Normal 4 2 2 5 2 2 4" xfId="9375" xr:uid="{BFCDD2B2-7FAB-4734-8122-1C089BA4894F}"/>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50CDD377-28D1-42DE-AECE-08B053C9DF59}"/>
    <cellStyle name="Normal 4 2 2 5 2 3 2 3" xfId="11933" xr:uid="{FE20A64D-D784-4803-838F-A3A6F2B38214}"/>
    <cellStyle name="Normal 4 2 2 5 2 3 3" xfId="5556" xr:uid="{00000000-0005-0000-0000-0000EB120000}"/>
    <cellStyle name="Normal 4 2 2 5 2 3 3 2" xfId="14006" xr:uid="{BF2B1784-6E39-4982-8EB3-BA22296A605B}"/>
    <cellStyle name="Normal 4 2 2 5 2 3 4" xfId="9788" xr:uid="{75FFE93B-AB88-45FB-94FE-F834AC54456C}"/>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728C7363-43D5-450A-834A-4A669FA4CB66}"/>
    <cellStyle name="Normal 4 2 2 5 2 4 2 3" xfId="12346" xr:uid="{6D3E8F24-5BDD-4EA8-836F-819B114C90F3}"/>
    <cellStyle name="Normal 4 2 2 5 2 4 3" xfId="5969" xr:uid="{00000000-0005-0000-0000-0000EF120000}"/>
    <cellStyle name="Normal 4 2 2 5 2 4 3 2" xfId="14419" xr:uid="{F2BA73EE-A7D3-42D9-94CA-26EE9FB573E3}"/>
    <cellStyle name="Normal 4 2 2 5 2 4 4" xfId="10201" xr:uid="{19B6D906-460C-4119-AA92-BC2EFE2BF0A7}"/>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5DC20003-D428-40E6-AC18-04C4FCD608EE}"/>
    <cellStyle name="Normal 4 2 2 5 2 5 2 3" xfId="12759" xr:uid="{5473B186-7DFD-49F9-982B-63CC1076C015}"/>
    <cellStyle name="Normal 4 2 2 5 2 5 3" xfId="6382" xr:uid="{00000000-0005-0000-0000-0000F3120000}"/>
    <cellStyle name="Normal 4 2 2 5 2 5 3 2" xfId="14832" xr:uid="{CE621471-15E9-42B9-A16F-2A1216034A53}"/>
    <cellStyle name="Normal 4 2 2 5 2 5 4" xfId="10614" xr:uid="{48958DE8-A2BC-4290-A8DA-314FD8FCCB6A}"/>
    <cellStyle name="Normal 4 2 2 5 2 6" xfId="2512" xr:uid="{00000000-0005-0000-0000-0000F4120000}"/>
    <cellStyle name="Normal 4 2 2 5 2 6 2" xfId="6795" xr:uid="{00000000-0005-0000-0000-0000F5120000}"/>
    <cellStyle name="Normal 4 2 2 5 2 6 2 2" xfId="15245" xr:uid="{6B77EEC1-D85F-4B33-8BAD-66F91F2E692C}"/>
    <cellStyle name="Normal 4 2 2 5 2 6 3" xfId="11027" xr:uid="{74C19DD5-A25A-4EE0-AF86-830CFCE2CCC8}"/>
    <cellStyle name="Normal 4 2 2 5 2 7" xfId="4730" xr:uid="{00000000-0005-0000-0000-0000F6120000}"/>
    <cellStyle name="Normal 4 2 2 5 2 7 2" xfId="13180" xr:uid="{F0EC59B4-103B-46E9-9825-F6A9D176F12F}"/>
    <cellStyle name="Normal 4 2 2 5 2 8" xfId="8962" xr:uid="{4A3F2932-33D7-4718-AAAE-11988B7A4686}"/>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24247C19-948C-4414-83AB-2AC541F5EF29}"/>
    <cellStyle name="Normal 4 2 2 5 3 2 3" xfId="11519" xr:uid="{6D2D6284-48A5-4BFB-8129-7A6DAB285B5C}"/>
    <cellStyle name="Normal 4 2 2 5 3 3" xfId="5142" xr:uid="{00000000-0005-0000-0000-0000FA120000}"/>
    <cellStyle name="Normal 4 2 2 5 3 3 2" xfId="13592" xr:uid="{C55FBDB6-BF5E-41E3-B4BD-2042B008464C}"/>
    <cellStyle name="Normal 4 2 2 5 3 4" xfId="9374" xr:uid="{34A86C5B-8CA6-4593-AE32-AB924B3D67B2}"/>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BD2CEDEC-249B-44B1-AB64-61B59DBFE1A3}"/>
    <cellStyle name="Normal 4 2 2 5 4 2 3" xfId="11932" xr:uid="{EAE019EE-943E-4217-90F2-F885A9435274}"/>
    <cellStyle name="Normal 4 2 2 5 4 3" xfId="5555" xr:uid="{00000000-0005-0000-0000-0000FE120000}"/>
    <cellStyle name="Normal 4 2 2 5 4 3 2" xfId="14005" xr:uid="{B3FE1310-52B0-492D-8C2A-40D41D3710CD}"/>
    <cellStyle name="Normal 4 2 2 5 4 4" xfId="9787" xr:uid="{AA4F64E5-12DB-488B-8C3F-491DCC48A6E4}"/>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9B9078E1-A31D-4CF5-B0F1-4286F6B92094}"/>
    <cellStyle name="Normal 4 2 2 5 5 2 3" xfId="12345" xr:uid="{536CCDE9-3373-4D3B-863E-D9C04296C1B3}"/>
    <cellStyle name="Normal 4 2 2 5 5 3" xfId="5968" xr:uid="{00000000-0005-0000-0000-000002130000}"/>
    <cellStyle name="Normal 4 2 2 5 5 3 2" xfId="14418" xr:uid="{FFA51915-8F85-479C-8D62-B564F67FF77E}"/>
    <cellStyle name="Normal 4 2 2 5 5 4" xfId="10200" xr:uid="{456CB22B-C502-478E-9A83-0624D13BF44E}"/>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84A7D57A-2C5A-46FB-B9B9-3D85AC698E90}"/>
    <cellStyle name="Normal 4 2 2 5 6 2 3" xfId="12758" xr:uid="{7B66CEE5-7289-4F16-BC16-C3C093C282DB}"/>
    <cellStyle name="Normal 4 2 2 5 6 3" xfId="6381" xr:uid="{00000000-0005-0000-0000-000006130000}"/>
    <cellStyle name="Normal 4 2 2 5 6 3 2" xfId="14831" xr:uid="{7DDBC27C-04BF-45E7-8559-6A67DBFD65E9}"/>
    <cellStyle name="Normal 4 2 2 5 6 4" xfId="10613" xr:uid="{A685C16A-13D6-451B-BDB3-F51EFEEE3C48}"/>
    <cellStyle name="Normal 4 2 2 5 7" xfId="2511" xr:uid="{00000000-0005-0000-0000-000007130000}"/>
    <cellStyle name="Normal 4 2 2 5 7 2" xfId="6794" xr:uid="{00000000-0005-0000-0000-000008130000}"/>
    <cellStyle name="Normal 4 2 2 5 7 2 2" xfId="15244" xr:uid="{C01A0117-A228-4675-BC49-D53D62BB9FFD}"/>
    <cellStyle name="Normal 4 2 2 5 7 3" xfId="11026" xr:uid="{B196152E-B821-466C-B4B0-A6FDBD2724CC}"/>
    <cellStyle name="Normal 4 2 2 5 8" xfId="4729" xr:uid="{00000000-0005-0000-0000-000009130000}"/>
    <cellStyle name="Normal 4 2 2 5 8 2" xfId="13179" xr:uid="{AD2BAAD3-45D7-4D0E-8EDD-A8870FE27DE1}"/>
    <cellStyle name="Normal 4 2 2 5 9" xfId="8961" xr:uid="{6EF958B9-3851-4D51-B246-8DE47FF1450A}"/>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166EB2CD-F1D1-4AD1-8CB2-1F317333FB03}"/>
    <cellStyle name="Normal 4 2 2 6 2 2 3" xfId="11521" xr:uid="{65C6879A-6856-4754-89BB-7E7F87B3A4A2}"/>
    <cellStyle name="Normal 4 2 2 6 2 3" xfId="5144" xr:uid="{00000000-0005-0000-0000-00000E130000}"/>
    <cellStyle name="Normal 4 2 2 6 2 3 2" xfId="13594" xr:uid="{D5867C0B-7BE8-41E5-B585-D7BE21FCE5C8}"/>
    <cellStyle name="Normal 4 2 2 6 2 4" xfId="9376" xr:uid="{62CEE751-9DBB-4DB7-AB77-9CD2AC008862}"/>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98275298-7601-415B-9ABB-C58606580AE8}"/>
    <cellStyle name="Normal 4 2 2 6 3 2 3" xfId="11934" xr:uid="{EA51B640-FE57-4769-934A-080037B36B0B}"/>
    <cellStyle name="Normal 4 2 2 6 3 3" xfId="5557" xr:uid="{00000000-0005-0000-0000-000012130000}"/>
    <cellStyle name="Normal 4 2 2 6 3 3 2" xfId="14007" xr:uid="{2B38F622-0D1D-4765-85B7-6D24691780D1}"/>
    <cellStyle name="Normal 4 2 2 6 3 4" xfId="9789" xr:uid="{F8FF0B22-D852-4232-8157-010970F80497}"/>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050C7BA5-DF67-46DE-AD32-6BF7B6763DC6}"/>
    <cellStyle name="Normal 4 2 2 6 4 2 3" xfId="12347" xr:uid="{D732A73F-6F6A-4CE7-A657-9891AD884D36}"/>
    <cellStyle name="Normal 4 2 2 6 4 3" xfId="5970" xr:uid="{00000000-0005-0000-0000-000016130000}"/>
    <cellStyle name="Normal 4 2 2 6 4 3 2" xfId="14420" xr:uid="{C29F3D96-B52B-49F2-AA76-B85FA34B3A2E}"/>
    <cellStyle name="Normal 4 2 2 6 4 4" xfId="10202" xr:uid="{3BC8063F-FC20-4AD5-8BD6-B3B51B75400F}"/>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F0E3ABE6-DFFD-4251-A591-477E3A708968}"/>
    <cellStyle name="Normal 4 2 2 6 5 2 3" xfId="12760" xr:uid="{7B3A9F2D-82A7-4880-8021-F87F5BFE6B17}"/>
    <cellStyle name="Normal 4 2 2 6 5 3" xfId="6383" xr:uid="{00000000-0005-0000-0000-00001A130000}"/>
    <cellStyle name="Normal 4 2 2 6 5 3 2" xfId="14833" xr:uid="{47251A6D-8326-42EA-A41D-0EDC2206F67E}"/>
    <cellStyle name="Normal 4 2 2 6 5 4" xfId="10615" xr:uid="{7F4D99F0-6075-4E47-869B-774C9D76C78E}"/>
    <cellStyle name="Normal 4 2 2 6 6" xfId="2513" xr:uid="{00000000-0005-0000-0000-00001B130000}"/>
    <cellStyle name="Normal 4 2 2 6 6 2" xfId="6796" xr:uid="{00000000-0005-0000-0000-00001C130000}"/>
    <cellStyle name="Normal 4 2 2 6 6 2 2" xfId="15246" xr:uid="{DAAEAAB7-D6DE-4F03-BFBD-1A110237DD34}"/>
    <cellStyle name="Normal 4 2 2 6 6 3" xfId="11028" xr:uid="{00BDC1F4-9FD5-479F-93E8-F0543BA6E9E9}"/>
    <cellStyle name="Normal 4 2 2 6 7" xfId="4731" xr:uid="{00000000-0005-0000-0000-00001D130000}"/>
    <cellStyle name="Normal 4 2 2 6 7 2" xfId="13181" xr:uid="{D2DDAD1C-30E0-459B-BD63-02EE0D133765}"/>
    <cellStyle name="Normal 4 2 2 6 8" xfId="8963" xr:uid="{28114DB5-10D4-47A0-A83A-E68B35ABA40B}"/>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B6004F04-248E-4080-B519-BE7DFEDCE34D}"/>
    <cellStyle name="Normal 4 2 2 7 2 3" xfId="11506" xr:uid="{10AD5C64-AC7D-4675-9071-5CB174F87967}"/>
    <cellStyle name="Normal 4 2 2 7 3" xfId="5129" xr:uid="{00000000-0005-0000-0000-000021130000}"/>
    <cellStyle name="Normal 4 2 2 7 3 2" xfId="13579" xr:uid="{26096964-5B5F-48AA-9594-91199809206E}"/>
    <cellStyle name="Normal 4 2 2 7 4" xfId="9361" xr:uid="{3932DC9B-FB45-423B-A21A-3156375F52AB}"/>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D1EFD275-EF4B-487C-ADCB-CC963E486977}"/>
    <cellStyle name="Normal 4 2 2 8 2 3" xfId="11919" xr:uid="{86A96216-EB6A-426A-BB92-CAF7657CBA4D}"/>
    <cellStyle name="Normal 4 2 2 8 3" xfId="5542" xr:uid="{00000000-0005-0000-0000-000025130000}"/>
    <cellStyle name="Normal 4 2 2 8 3 2" xfId="13992" xr:uid="{CABB24E4-C1FF-4881-8838-2209075F5883}"/>
    <cellStyle name="Normal 4 2 2 8 4" xfId="9774" xr:uid="{CC06AE1F-F900-46E1-8D0B-E7886E963A67}"/>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B18F4D48-591E-4624-8943-E8841C281778}"/>
    <cellStyle name="Normal 4 2 2 9 2 3" xfId="12332" xr:uid="{E39C1C49-60D5-40FE-9100-F6BBF7F19105}"/>
    <cellStyle name="Normal 4 2 2 9 3" xfId="5955" xr:uid="{00000000-0005-0000-0000-000029130000}"/>
    <cellStyle name="Normal 4 2 2 9 3 2" xfId="14405" xr:uid="{BFC9AFC7-3408-41E5-BD69-376EC05FE89D}"/>
    <cellStyle name="Normal 4 2 2 9 4" xfId="10187" xr:uid="{6294D587-BDD9-436E-99E9-BB8D00EAF9C2}"/>
    <cellStyle name="Normal 4 2 3" xfId="354" xr:uid="{00000000-0005-0000-0000-00002A130000}"/>
    <cellStyle name="Normal 4 2 4" xfId="355" xr:uid="{00000000-0005-0000-0000-00002B130000}"/>
    <cellStyle name="Normal 4 2 4 10" xfId="4732" xr:uid="{00000000-0005-0000-0000-00002C130000}"/>
    <cellStyle name="Normal 4 2 4 10 2" xfId="13182" xr:uid="{7336C2B4-2D9B-4AE5-9477-0A68BCD91808}"/>
    <cellStyle name="Normal 4 2 4 11" xfId="8964" xr:uid="{7AC52C2D-8967-4125-B117-4A678F7EB631}"/>
    <cellStyle name="Normal 4 2 4 2" xfId="356" xr:uid="{00000000-0005-0000-0000-00002D130000}"/>
    <cellStyle name="Normal 4 2 4 2 10" xfId="8965" xr:uid="{A552565F-B83E-4A2A-B459-48BC2B84D293}"/>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7D57494B-C974-4C44-B303-A5235F6F5048}"/>
    <cellStyle name="Normal 4 2 4 2 2 2 2 2 3" xfId="11525" xr:uid="{5E622039-C640-430F-B3E5-71727458BB82}"/>
    <cellStyle name="Normal 4 2 4 2 2 2 2 3" xfId="5148" xr:uid="{00000000-0005-0000-0000-000033130000}"/>
    <cellStyle name="Normal 4 2 4 2 2 2 2 3 2" xfId="13598" xr:uid="{5DAD5D4B-495E-4AEA-A43C-1F5CDC255019}"/>
    <cellStyle name="Normal 4 2 4 2 2 2 2 4" xfId="9380" xr:uid="{F95D630C-2B7D-482C-B0E1-B90CA360661E}"/>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EA4FBDE8-8AAD-4526-8AF2-485145D07305}"/>
    <cellStyle name="Normal 4 2 4 2 2 2 3 2 3" xfId="11938" xr:uid="{5481B560-4482-49E9-A5EB-486379E537D4}"/>
    <cellStyle name="Normal 4 2 4 2 2 2 3 3" xfId="5561" xr:uid="{00000000-0005-0000-0000-000037130000}"/>
    <cellStyle name="Normal 4 2 4 2 2 2 3 3 2" xfId="14011" xr:uid="{A995B2D3-4235-4AA8-A514-420D606CEF63}"/>
    <cellStyle name="Normal 4 2 4 2 2 2 3 4" xfId="9793" xr:uid="{A0516234-8466-4154-A103-CED7EF4E9EFC}"/>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A002F0C2-44A7-4890-8079-AA9C105CA247}"/>
    <cellStyle name="Normal 4 2 4 2 2 2 4 2 3" xfId="12351" xr:uid="{F08C9DED-F23A-48B5-8579-9E049CD4B7B5}"/>
    <cellStyle name="Normal 4 2 4 2 2 2 4 3" xfId="5974" xr:uid="{00000000-0005-0000-0000-00003B130000}"/>
    <cellStyle name="Normal 4 2 4 2 2 2 4 3 2" xfId="14424" xr:uid="{75CD541C-2875-41E6-A58A-1301FD75AB09}"/>
    <cellStyle name="Normal 4 2 4 2 2 2 4 4" xfId="10206" xr:uid="{FC70BC5F-F136-4845-9B81-FFFD78A85182}"/>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CCF3F67D-ECC0-40F5-8BD6-E3B47982DF56}"/>
    <cellStyle name="Normal 4 2 4 2 2 2 5 2 3" xfId="12764" xr:uid="{1FAC2D8C-F250-4F80-BD5C-11BA27CBCD0F}"/>
    <cellStyle name="Normal 4 2 4 2 2 2 5 3" xfId="6387" xr:uid="{00000000-0005-0000-0000-00003F130000}"/>
    <cellStyle name="Normal 4 2 4 2 2 2 5 3 2" xfId="14837" xr:uid="{2140D461-EE72-4F52-9BB9-219B0E0D71FC}"/>
    <cellStyle name="Normal 4 2 4 2 2 2 5 4" xfId="10619" xr:uid="{C5B82552-E4AF-40BC-B3DB-2A99C1135568}"/>
    <cellStyle name="Normal 4 2 4 2 2 2 6" xfId="2517" xr:uid="{00000000-0005-0000-0000-000040130000}"/>
    <cellStyle name="Normal 4 2 4 2 2 2 6 2" xfId="6800" xr:uid="{00000000-0005-0000-0000-000041130000}"/>
    <cellStyle name="Normal 4 2 4 2 2 2 6 2 2" xfId="15250" xr:uid="{9DAE8BDA-BCB0-40F5-A536-53BC85D7D6FE}"/>
    <cellStyle name="Normal 4 2 4 2 2 2 6 3" xfId="11032" xr:uid="{FCBA9B8D-832C-4D81-88F9-B84AD4D3AEDF}"/>
    <cellStyle name="Normal 4 2 4 2 2 2 7" xfId="4735" xr:uid="{00000000-0005-0000-0000-000042130000}"/>
    <cellStyle name="Normal 4 2 4 2 2 2 7 2" xfId="13185" xr:uid="{B2ACDE67-6DBE-4122-A6DB-7595C4CF68F4}"/>
    <cellStyle name="Normal 4 2 4 2 2 2 8" xfId="8967" xr:uid="{8D9A9F04-59A3-40BC-9EA0-5D473D190B4F}"/>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1E84B8BB-3418-460D-B8BA-0FE6471B0F02}"/>
    <cellStyle name="Normal 4 2 4 2 2 3 2 3" xfId="11524" xr:uid="{3889EFD1-0864-4AD6-A5E2-2B9005611F01}"/>
    <cellStyle name="Normal 4 2 4 2 2 3 3" xfId="5147" xr:uid="{00000000-0005-0000-0000-000046130000}"/>
    <cellStyle name="Normal 4 2 4 2 2 3 3 2" xfId="13597" xr:uid="{C3598337-EA8F-4616-AD49-A0823750A5CB}"/>
    <cellStyle name="Normal 4 2 4 2 2 3 4" xfId="9379" xr:uid="{E03BDC19-7516-42E7-9F87-693C522497BB}"/>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FFB0EACC-C818-4CC7-A07F-E50A7F87DF2D}"/>
    <cellStyle name="Normal 4 2 4 2 2 4 2 3" xfId="11937" xr:uid="{62A294F7-C14D-4AEF-9837-D35C8D55EBDD}"/>
    <cellStyle name="Normal 4 2 4 2 2 4 3" xfId="5560" xr:uid="{00000000-0005-0000-0000-00004A130000}"/>
    <cellStyle name="Normal 4 2 4 2 2 4 3 2" xfId="14010" xr:uid="{C45E099B-E864-41B7-80D1-D41EFC8ACB40}"/>
    <cellStyle name="Normal 4 2 4 2 2 4 4" xfId="9792" xr:uid="{C6D367AD-46AB-43A5-8DB4-8B05DCF8A6A4}"/>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E0FC756F-CC7F-4840-8898-DA41B3B56422}"/>
    <cellStyle name="Normal 4 2 4 2 2 5 2 3" xfId="12350" xr:uid="{F9AC6AA2-16B9-413D-AD23-573BD8D97AE3}"/>
    <cellStyle name="Normal 4 2 4 2 2 5 3" xfId="5973" xr:uid="{00000000-0005-0000-0000-00004E130000}"/>
    <cellStyle name="Normal 4 2 4 2 2 5 3 2" xfId="14423" xr:uid="{D83D4E69-A98B-4BE4-A0DF-D6DF48B2F677}"/>
    <cellStyle name="Normal 4 2 4 2 2 5 4" xfId="10205" xr:uid="{D0B2175A-723D-446F-A32E-771022F81B05}"/>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4F242918-C766-4241-A41E-08931CCD2BD2}"/>
    <cellStyle name="Normal 4 2 4 2 2 6 2 3" xfId="12763" xr:uid="{3DFECAF2-5C12-4176-BDB2-A5BBC52F1A12}"/>
    <cellStyle name="Normal 4 2 4 2 2 6 3" xfId="6386" xr:uid="{00000000-0005-0000-0000-000052130000}"/>
    <cellStyle name="Normal 4 2 4 2 2 6 3 2" xfId="14836" xr:uid="{C38F36FE-4DD4-4A4A-A5DF-DBFFD12AB44E}"/>
    <cellStyle name="Normal 4 2 4 2 2 6 4" xfId="10618" xr:uid="{A344F530-7D06-4819-85B4-960C01F1B125}"/>
    <cellStyle name="Normal 4 2 4 2 2 7" xfId="2516" xr:uid="{00000000-0005-0000-0000-000053130000}"/>
    <cellStyle name="Normal 4 2 4 2 2 7 2" xfId="6799" xr:uid="{00000000-0005-0000-0000-000054130000}"/>
    <cellStyle name="Normal 4 2 4 2 2 7 2 2" xfId="15249" xr:uid="{3D20F6BB-0120-485D-A00F-6DE742E21784}"/>
    <cellStyle name="Normal 4 2 4 2 2 7 3" xfId="11031" xr:uid="{9D37FF2E-0880-4142-BABE-A9B29FB76CFA}"/>
    <cellStyle name="Normal 4 2 4 2 2 8" xfId="4734" xr:uid="{00000000-0005-0000-0000-000055130000}"/>
    <cellStyle name="Normal 4 2 4 2 2 8 2" xfId="13184" xr:uid="{CAD59F31-AFF6-4241-97A9-29CF48BE4479}"/>
    <cellStyle name="Normal 4 2 4 2 2 9" xfId="8966" xr:uid="{4726B0A6-1E21-448A-942B-323128A29F6D}"/>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7875747B-4A54-4096-B47C-EA57A1E81ED8}"/>
    <cellStyle name="Normal 4 2 4 2 3 2 2 3" xfId="11526" xr:uid="{71D257E4-901F-48DE-A913-69F98DDF2271}"/>
    <cellStyle name="Normal 4 2 4 2 3 2 3" xfId="5149" xr:uid="{00000000-0005-0000-0000-00005A130000}"/>
    <cellStyle name="Normal 4 2 4 2 3 2 3 2" xfId="13599" xr:uid="{07D53A24-CF3B-4771-80E3-D9DB9D5D6DF8}"/>
    <cellStyle name="Normal 4 2 4 2 3 2 4" xfId="9381" xr:uid="{896C29FA-9527-4601-A7E1-27D01ABF5DF2}"/>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BCBE6579-78B1-4FA2-A517-5BB1E9C588C9}"/>
    <cellStyle name="Normal 4 2 4 2 3 3 2 3" xfId="11939" xr:uid="{C910C1C7-8233-4A5C-BF0C-2855BC2622B1}"/>
    <cellStyle name="Normal 4 2 4 2 3 3 3" xfId="5562" xr:uid="{00000000-0005-0000-0000-00005E130000}"/>
    <cellStyle name="Normal 4 2 4 2 3 3 3 2" xfId="14012" xr:uid="{44EB2FD0-C36B-4EAD-B3F4-371BCCC86CE9}"/>
    <cellStyle name="Normal 4 2 4 2 3 3 4" xfId="9794" xr:uid="{CB9EEB11-8AFF-4711-9217-41C0F9F2940A}"/>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762A3784-1DDC-46BF-99C5-42001A06D9FD}"/>
    <cellStyle name="Normal 4 2 4 2 3 4 2 3" xfId="12352" xr:uid="{C0DB9BA7-26D8-4B4F-B0CA-70CC577EAA7B}"/>
    <cellStyle name="Normal 4 2 4 2 3 4 3" xfId="5975" xr:uid="{00000000-0005-0000-0000-000062130000}"/>
    <cellStyle name="Normal 4 2 4 2 3 4 3 2" xfId="14425" xr:uid="{FD135194-1C71-4FEB-89C8-031D9386EC54}"/>
    <cellStyle name="Normal 4 2 4 2 3 4 4" xfId="10207" xr:uid="{F48EFDC6-1943-4C4D-9BA9-C25367127032}"/>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1FEF0B7E-BC64-426D-802D-760C2ECA84FF}"/>
    <cellStyle name="Normal 4 2 4 2 3 5 2 3" xfId="12765" xr:uid="{7728A212-28E7-4B90-9E0E-A3C687BA0437}"/>
    <cellStyle name="Normal 4 2 4 2 3 5 3" xfId="6388" xr:uid="{00000000-0005-0000-0000-000066130000}"/>
    <cellStyle name="Normal 4 2 4 2 3 5 3 2" xfId="14838" xr:uid="{7FC891C5-41E0-449D-AD4B-E217BA907C91}"/>
    <cellStyle name="Normal 4 2 4 2 3 5 4" xfId="10620" xr:uid="{E7DC5D8A-5D4B-4F88-B426-B04D22D15B8A}"/>
    <cellStyle name="Normal 4 2 4 2 3 6" xfId="2518" xr:uid="{00000000-0005-0000-0000-000067130000}"/>
    <cellStyle name="Normal 4 2 4 2 3 6 2" xfId="6801" xr:uid="{00000000-0005-0000-0000-000068130000}"/>
    <cellStyle name="Normal 4 2 4 2 3 6 2 2" xfId="15251" xr:uid="{4FA4A357-051D-41E6-B820-8A1E36F2B9F4}"/>
    <cellStyle name="Normal 4 2 4 2 3 6 3" xfId="11033" xr:uid="{8CB02E13-27FA-4574-AD74-0DE27A56E194}"/>
    <cellStyle name="Normal 4 2 4 2 3 7" xfId="4736" xr:uid="{00000000-0005-0000-0000-000069130000}"/>
    <cellStyle name="Normal 4 2 4 2 3 7 2" xfId="13186" xr:uid="{0CEF82FD-ACAB-410B-BB25-A56497470B47}"/>
    <cellStyle name="Normal 4 2 4 2 3 8" xfId="8968" xr:uid="{289B4C3D-2EE0-4B34-9953-B40FA0A23C99}"/>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CC68E0FA-3DA5-4EEF-9538-41E5EE7CA4AC}"/>
    <cellStyle name="Normal 4 2 4 2 4 2 3" xfId="11523" xr:uid="{7C269915-CBA6-4063-81AA-0A639E83AD7F}"/>
    <cellStyle name="Normal 4 2 4 2 4 3" xfId="5146" xr:uid="{00000000-0005-0000-0000-00006D130000}"/>
    <cellStyle name="Normal 4 2 4 2 4 3 2" xfId="13596" xr:uid="{FABF6271-498F-4978-9C45-A77B05861685}"/>
    <cellStyle name="Normal 4 2 4 2 4 4" xfId="9378" xr:uid="{C758E6AA-5042-46A6-95B7-AA98E65373F2}"/>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BF47132E-EE11-4F2D-95BC-7D2229133CDC}"/>
    <cellStyle name="Normal 4 2 4 2 5 2 3" xfId="11936" xr:uid="{0A5D1276-DF4D-46CB-923E-F6A7C65898A0}"/>
    <cellStyle name="Normal 4 2 4 2 5 3" xfId="5559" xr:uid="{00000000-0005-0000-0000-000071130000}"/>
    <cellStyle name="Normal 4 2 4 2 5 3 2" xfId="14009" xr:uid="{3B1D5513-3EAB-46BD-B606-31A96D9784DB}"/>
    <cellStyle name="Normal 4 2 4 2 5 4" xfId="9791" xr:uid="{03D33574-0BD1-4D49-9A47-0F3392AEC477}"/>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9B5432FD-D65E-4107-9AFF-35AC1AD3F06D}"/>
    <cellStyle name="Normal 4 2 4 2 6 2 3" xfId="12349" xr:uid="{2FFA07D2-AB5D-4A02-BC64-D6C12C830534}"/>
    <cellStyle name="Normal 4 2 4 2 6 3" xfId="5972" xr:uid="{00000000-0005-0000-0000-000075130000}"/>
    <cellStyle name="Normal 4 2 4 2 6 3 2" xfId="14422" xr:uid="{20FB8805-5045-471D-A21F-C8292D69F26E}"/>
    <cellStyle name="Normal 4 2 4 2 6 4" xfId="10204" xr:uid="{A9F95282-B78E-4CFF-BA42-211B99671053}"/>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210C3226-4267-4252-A751-7577B8040CA6}"/>
    <cellStyle name="Normal 4 2 4 2 7 2 3" xfId="12762" xr:uid="{493F5326-62C2-4D4D-A011-C5E26C5A289E}"/>
    <cellStyle name="Normal 4 2 4 2 7 3" xfId="6385" xr:uid="{00000000-0005-0000-0000-000079130000}"/>
    <cellStyle name="Normal 4 2 4 2 7 3 2" xfId="14835" xr:uid="{CEA05A50-D799-4A6F-87F4-975D9A789443}"/>
    <cellStyle name="Normal 4 2 4 2 7 4" xfId="10617" xr:uid="{CE506EC4-E79B-4F50-8476-A003E6A11B73}"/>
    <cellStyle name="Normal 4 2 4 2 8" xfId="2515" xr:uid="{00000000-0005-0000-0000-00007A130000}"/>
    <cellStyle name="Normal 4 2 4 2 8 2" xfId="6798" xr:uid="{00000000-0005-0000-0000-00007B130000}"/>
    <cellStyle name="Normal 4 2 4 2 8 2 2" xfId="15248" xr:uid="{C06E2D2E-C60B-4673-913F-A33F2667CC50}"/>
    <cellStyle name="Normal 4 2 4 2 8 3" xfId="11030" xr:uid="{875D6C44-EA8F-492A-BF1F-CEC70D2DC53B}"/>
    <cellStyle name="Normal 4 2 4 2 9" xfId="4733" xr:uid="{00000000-0005-0000-0000-00007C130000}"/>
    <cellStyle name="Normal 4 2 4 2 9 2" xfId="13183" xr:uid="{716A381C-F7C6-482D-A942-30AF25959CB2}"/>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6E320E21-4F8E-4717-87EE-F477F3B60E26}"/>
    <cellStyle name="Normal 4 2 4 3 2 2 2 3" xfId="11528" xr:uid="{93EFCF1B-14AC-4F4A-A54E-83A7DE28D875}"/>
    <cellStyle name="Normal 4 2 4 3 2 2 3" xfId="5151" xr:uid="{00000000-0005-0000-0000-000082130000}"/>
    <cellStyle name="Normal 4 2 4 3 2 2 3 2" xfId="13601" xr:uid="{94D1E368-D375-4DE8-8B80-5A09B112C8EF}"/>
    <cellStyle name="Normal 4 2 4 3 2 2 4" xfId="9383" xr:uid="{E10F19B0-E1C7-4526-BC98-D6F8FECB0859}"/>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9F76555D-2FE9-4A3B-8D82-EEA204C973EB}"/>
    <cellStyle name="Normal 4 2 4 3 2 3 2 3" xfId="11941" xr:uid="{E46C787B-071B-45C4-A674-9BF643A84F23}"/>
    <cellStyle name="Normal 4 2 4 3 2 3 3" xfId="5564" xr:uid="{00000000-0005-0000-0000-000086130000}"/>
    <cellStyle name="Normal 4 2 4 3 2 3 3 2" xfId="14014" xr:uid="{AE6A2075-CE0E-48DF-B2D6-74F25625D03F}"/>
    <cellStyle name="Normal 4 2 4 3 2 3 4" xfId="9796" xr:uid="{7989F167-ABD6-437D-BD53-9D0CAB7B2A09}"/>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F65AF535-496F-47EE-BF23-160618EABE29}"/>
    <cellStyle name="Normal 4 2 4 3 2 4 2 3" xfId="12354" xr:uid="{23BE9CF8-5EC4-4AD1-ABB7-1D38F9336C75}"/>
    <cellStyle name="Normal 4 2 4 3 2 4 3" xfId="5977" xr:uid="{00000000-0005-0000-0000-00008A130000}"/>
    <cellStyle name="Normal 4 2 4 3 2 4 3 2" xfId="14427" xr:uid="{1928E4C4-7B20-4E12-9835-4A9C5D5B1BF9}"/>
    <cellStyle name="Normal 4 2 4 3 2 4 4" xfId="10209" xr:uid="{26119C65-80E9-4245-AC2A-4A949696D9E8}"/>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0E381389-4E2D-4FD8-A38D-D155153A4664}"/>
    <cellStyle name="Normal 4 2 4 3 2 5 2 3" xfId="12767" xr:uid="{5C7987A3-36CF-402B-B2B3-B21519C0BB1C}"/>
    <cellStyle name="Normal 4 2 4 3 2 5 3" xfId="6390" xr:uid="{00000000-0005-0000-0000-00008E130000}"/>
    <cellStyle name="Normal 4 2 4 3 2 5 3 2" xfId="14840" xr:uid="{67937FF4-10BA-483E-8668-ABF059053341}"/>
    <cellStyle name="Normal 4 2 4 3 2 5 4" xfId="10622" xr:uid="{D946938D-954F-4778-86E3-CAE303984A9F}"/>
    <cellStyle name="Normal 4 2 4 3 2 6" xfId="2520" xr:uid="{00000000-0005-0000-0000-00008F130000}"/>
    <cellStyle name="Normal 4 2 4 3 2 6 2" xfId="6803" xr:uid="{00000000-0005-0000-0000-000090130000}"/>
    <cellStyle name="Normal 4 2 4 3 2 6 2 2" xfId="15253" xr:uid="{86B8D2FF-4CF9-42CA-8E3A-300132FE246E}"/>
    <cellStyle name="Normal 4 2 4 3 2 6 3" xfId="11035" xr:uid="{29AD0C1E-7617-4FCB-8861-7AC0D793B43E}"/>
    <cellStyle name="Normal 4 2 4 3 2 7" xfId="4738" xr:uid="{00000000-0005-0000-0000-000091130000}"/>
    <cellStyle name="Normal 4 2 4 3 2 7 2" xfId="13188" xr:uid="{93F68FEB-E3B8-4490-B3E8-6E3716A57E76}"/>
    <cellStyle name="Normal 4 2 4 3 2 8" xfId="8970" xr:uid="{EEC416A5-0814-4DB1-951B-AB06F9C05505}"/>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19502588-C7C3-4CCF-8C54-F4F3199513F1}"/>
    <cellStyle name="Normal 4 2 4 3 3 2 3" xfId="11527" xr:uid="{7B34C4E7-5ADE-4458-B416-3F85F66A0544}"/>
    <cellStyle name="Normal 4 2 4 3 3 3" xfId="5150" xr:uid="{00000000-0005-0000-0000-000095130000}"/>
    <cellStyle name="Normal 4 2 4 3 3 3 2" xfId="13600" xr:uid="{6FD61A91-D29D-45A5-8EB7-6724F5056F37}"/>
    <cellStyle name="Normal 4 2 4 3 3 4" xfId="9382" xr:uid="{050E28FB-D0CC-4A5B-8535-0076CA2CE3DF}"/>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7BF0EA9A-6CC8-403F-B265-0052FBBCCE82}"/>
    <cellStyle name="Normal 4 2 4 3 4 2 3" xfId="11940" xr:uid="{94380302-9AD4-49DC-A1B6-E56DEA61C32A}"/>
    <cellStyle name="Normal 4 2 4 3 4 3" xfId="5563" xr:uid="{00000000-0005-0000-0000-000099130000}"/>
    <cellStyle name="Normal 4 2 4 3 4 3 2" xfId="14013" xr:uid="{A91746C2-954F-4DA0-8BFD-2C31B6FF50A8}"/>
    <cellStyle name="Normal 4 2 4 3 4 4" xfId="9795" xr:uid="{AB7514BB-7F45-41EE-BFBD-B4FE49AF006A}"/>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E2E06E68-6732-4441-BDB5-58AD0BE74650}"/>
    <cellStyle name="Normal 4 2 4 3 5 2 3" xfId="12353" xr:uid="{85721B92-384E-41DC-BB76-409C5D1520B7}"/>
    <cellStyle name="Normal 4 2 4 3 5 3" xfId="5976" xr:uid="{00000000-0005-0000-0000-00009D130000}"/>
    <cellStyle name="Normal 4 2 4 3 5 3 2" xfId="14426" xr:uid="{6433B808-5E75-4218-B622-5782E830485F}"/>
    <cellStyle name="Normal 4 2 4 3 5 4" xfId="10208" xr:uid="{8B98462A-F021-4C6E-B456-738E3DDD78CF}"/>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2D5C6801-5CDF-41B4-B6C0-20794429C2AF}"/>
    <cellStyle name="Normal 4 2 4 3 6 2 3" xfId="12766" xr:uid="{4274FA0D-6145-449D-9735-A913A7177CA9}"/>
    <cellStyle name="Normal 4 2 4 3 6 3" xfId="6389" xr:uid="{00000000-0005-0000-0000-0000A1130000}"/>
    <cellStyle name="Normal 4 2 4 3 6 3 2" xfId="14839" xr:uid="{8D7FFC56-8118-418D-896F-72EFD30351B1}"/>
    <cellStyle name="Normal 4 2 4 3 6 4" xfId="10621" xr:uid="{957A2847-97CF-474E-B88D-EF2996E1C0C7}"/>
    <cellStyle name="Normal 4 2 4 3 7" xfId="2519" xr:uid="{00000000-0005-0000-0000-0000A2130000}"/>
    <cellStyle name="Normal 4 2 4 3 7 2" xfId="6802" xr:uid="{00000000-0005-0000-0000-0000A3130000}"/>
    <cellStyle name="Normal 4 2 4 3 7 2 2" xfId="15252" xr:uid="{ED6D79FF-42AC-4595-94EB-8E8B5C9FD446}"/>
    <cellStyle name="Normal 4 2 4 3 7 3" xfId="11034" xr:uid="{AB54E7D3-F8A2-4642-9A27-62E932F820EB}"/>
    <cellStyle name="Normal 4 2 4 3 8" xfId="4737" xr:uid="{00000000-0005-0000-0000-0000A4130000}"/>
    <cellStyle name="Normal 4 2 4 3 8 2" xfId="13187" xr:uid="{74E5947C-45B1-465E-B417-AE4AA090D446}"/>
    <cellStyle name="Normal 4 2 4 3 9" xfId="8969" xr:uid="{F326644C-2A9A-41CC-8A5B-D4DC2B122BCC}"/>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CD3A099A-B355-4A25-9B1D-A262DD571DA7}"/>
    <cellStyle name="Normal 4 2 4 4 2 2 3" xfId="11529" xr:uid="{A01809F6-9DE2-4469-B9F2-97F6E93C1722}"/>
    <cellStyle name="Normal 4 2 4 4 2 3" xfId="5152" xr:uid="{00000000-0005-0000-0000-0000A9130000}"/>
    <cellStyle name="Normal 4 2 4 4 2 3 2" xfId="13602" xr:uid="{3A7A8830-E00E-42E2-B1A7-43610C809379}"/>
    <cellStyle name="Normal 4 2 4 4 2 4" xfId="9384" xr:uid="{7FB71531-288B-4A0B-8FDF-59F4EEDDADB4}"/>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6883C52F-BCDC-40E7-8975-E8068F383CC1}"/>
    <cellStyle name="Normal 4 2 4 4 3 2 3" xfId="11942" xr:uid="{DD3AC843-22D7-4D7E-A0C2-E769A7882A9F}"/>
    <cellStyle name="Normal 4 2 4 4 3 3" xfId="5565" xr:uid="{00000000-0005-0000-0000-0000AD130000}"/>
    <cellStyle name="Normal 4 2 4 4 3 3 2" xfId="14015" xr:uid="{D70ECD3C-13C9-4E6C-98ED-31CEDDB8C874}"/>
    <cellStyle name="Normal 4 2 4 4 3 4" xfId="9797" xr:uid="{0116D231-E6D0-4DB7-BF47-44A04DB28AAD}"/>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E6D6860C-AF60-451F-9208-E126869CE5D7}"/>
    <cellStyle name="Normal 4 2 4 4 4 2 3" xfId="12355" xr:uid="{B5C1976B-BD7C-44A8-8652-0F28111BF0AB}"/>
    <cellStyle name="Normal 4 2 4 4 4 3" xfId="5978" xr:uid="{00000000-0005-0000-0000-0000B1130000}"/>
    <cellStyle name="Normal 4 2 4 4 4 3 2" xfId="14428" xr:uid="{9A7B3B94-F322-4FDF-B19C-8CE2AC7D3EA9}"/>
    <cellStyle name="Normal 4 2 4 4 4 4" xfId="10210" xr:uid="{B46F2948-046E-4533-89DE-666C9DDCA247}"/>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B03FD1FF-C80C-43B1-9734-1B9B2F291E6C}"/>
    <cellStyle name="Normal 4 2 4 4 5 2 3" xfId="12768" xr:uid="{FE3E5FD4-6A93-4C00-A8A9-BF75569AC339}"/>
    <cellStyle name="Normal 4 2 4 4 5 3" xfId="6391" xr:uid="{00000000-0005-0000-0000-0000B5130000}"/>
    <cellStyle name="Normal 4 2 4 4 5 3 2" xfId="14841" xr:uid="{37DB2069-F90C-436C-9E30-1D9DAFB53F70}"/>
    <cellStyle name="Normal 4 2 4 4 5 4" xfId="10623" xr:uid="{9B6FE828-7D40-4E19-8724-13330C6A8707}"/>
    <cellStyle name="Normal 4 2 4 4 6" xfId="2521" xr:uid="{00000000-0005-0000-0000-0000B6130000}"/>
    <cellStyle name="Normal 4 2 4 4 6 2" xfId="6804" xr:uid="{00000000-0005-0000-0000-0000B7130000}"/>
    <cellStyle name="Normal 4 2 4 4 6 2 2" xfId="15254" xr:uid="{0387BC34-EE17-4434-A0B8-5B75B41ED4AC}"/>
    <cellStyle name="Normal 4 2 4 4 6 3" xfId="11036" xr:uid="{7EC0205F-541B-4480-A5CF-EC99DEAD8D6A}"/>
    <cellStyle name="Normal 4 2 4 4 7" xfId="4739" xr:uid="{00000000-0005-0000-0000-0000B8130000}"/>
    <cellStyle name="Normal 4 2 4 4 7 2" xfId="13189" xr:uid="{BBE48C78-462A-4F45-BD44-7133BEB8434A}"/>
    <cellStyle name="Normal 4 2 4 4 8" xfId="8971" xr:uid="{A647FF8E-8E09-4ACD-A128-7CDE547E8D50}"/>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C1E0BD9B-A43D-420B-B4DD-EEB7302991A5}"/>
    <cellStyle name="Normal 4 2 4 5 2 3" xfId="11522" xr:uid="{22434DCA-6C3C-4252-941B-ABD98FEBC826}"/>
    <cellStyle name="Normal 4 2 4 5 3" xfId="5145" xr:uid="{00000000-0005-0000-0000-0000BC130000}"/>
    <cellStyle name="Normal 4 2 4 5 3 2" xfId="13595" xr:uid="{D84054B4-1B71-4711-BD6F-551A3A56E1BC}"/>
    <cellStyle name="Normal 4 2 4 5 4" xfId="9377" xr:uid="{8F50A89D-488D-4177-B362-43AA4C79F112}"/>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52CA1B26-6C15-454A-81B3-EF3A999974AC}"/>
    <cellStyle name="Normal 4 2 4 6 2 3" xfId="11935" xr:uid="{FEDAFDE0-148A-425C-B988-2219E96F8245}"/>
    <cellStyle name="Normal 4 2 4 6 3" xfId="5558" xr:uid="{00000000-0005-0000-0000-0000C0130000}"/>
    <cellStyle name="Normal 4 2 4 6 3 2" xfId="14008" xr:uid="{B4883363-E0D7-4297-9094-4D1289F025C5}"/>
    <cellStyle name="Normal 4 2 4 6 4" xfId="9790" xr:uid="{1F50E843-3E33-4FDB-9F75-AD88636D8B94}"/>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DB8671CD-A995-4CAF-BDB0-43E15C3CD210}"/>
    <cellStyle name="Normal 4 2 4 7 2 3" xfId="12348" xr:uid="{D11A8F43-55C5-4F03-B3E2-960D3F01B5DD}"/>
    <cellStyle name="Normal 4 2 4 7 3" xfId="5971" xr:uid="{00000000-0005-0000-0000-0000C4130000}"/>
    <cellStyle name="Normal 4 2 4 7 3 2" xfId="14421" xr:uid="{33E5649B-A41B-4AFE-807E-2AAB42465872}"/>
    <cellStyle name="Normal 4 2 4 7 4" xfId="10203" xr:uid="{E8C628C0-1F91-4621-AB4D-EBD27E4E95AB}"/>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BB795B5A-5710-4AE2-B45F-6361EA7A240B}"/>
    <cellStyle name="Normal 4 2 4 8 2 3" xfId="12761" xr:uid="{91ADF265-9D76-4302-88F1-7B729D57C1DC}"/>
    <cellStyle name="Normal 4 2 4 8 3" xfId="6384" xr:uid="{00000000-0005-0000-0000-0000C8130000}"/>
    <cellStyle name="Normal 4 2 4 8 3 2" xfId="14834" xr:uid="{723C69E7-E064-4757-A540-51B38660CF11}"/>
    <cellStyle name="Normal 4 2 4 8 4" xfId="10616" xr:uid="{1DE4D821-543D-4323-AE26-32886836ADC4}"/>
    <cellStyle name="Normal 4 2 4 9" xfId="2514" xr:uid="{00000000-0005-0000-0000-0000C9130000}"/>
    <cellStyle name="Normal 4 2 4 9 2" xfId="6797" xr:uid="{00000000-0005-0000-0000-0000CA130000}"/>
    <cellStyle name="Normal 4 2 4 9 2 2" xfId="15247" xr:uid="{70CF4D3D-3808-462D-AF53-2B952FC3E48D}"/>
    <cellStyle name="Normal 4 2 4 9 3" xfId="11029" xr:uid="{A129CC4B-11D5-43B2-AE56-07C011E3F6FD}"/>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F2CBA9CF-D0D7-4CF2-B34A-01FAF0EB7478}"/>
    <cellStyle name="Normal 4 2 5 2 2 2 3" xfId="11531" xr:uid="{E6DC8834-9A50-4D25-A368-C3527BB1A61A}"/>
    <cellStyle name="Normal 4 2 5 2 2 3" xfId="5154" xr:uid="{00000000-0005-0000-0000-0000D0130000}"/>
    <cellStyle name="Normal 4 2 5 2 2 3 2" xfId="13604" xr:uid="{DC31FE3C-1294-4F1F-A1A2-D0753B33D43A}"/>
    <cellStyle name="Normal 4 2 5 2 2 4" xfId="9386" xr:uid="{F91BC498-1994-41FE-93F3-83B98C14A153}"/>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30B41861-9DAE-4215-8BBD-FA701E08E533}"/>
    <cellStyle name="Normal 4 2 5 2 3 2 3" xfId="11944" xr:uid="{8C5532CD-D7E9-4DC0-8B04-43DAC550B748}"/>
    <cellStyle name="Normal 4 2 5 2 3 3" xfId="5567" xr:uid="{00000000-0005-0000-0000-0000D4130000}"/>
    <cellStyle name="Normal 4 2 5 2 3 3 2" xfId="14017" xr:uid="{C815DA56-83FE-47FB-BCDD-B2F2B11DDC07}"/>
    <cellStyle name="Normal 4 2 5 2 3 4" xfId="9799" xr:uid="{E4648FD1-9B01-4577-A7E8-9C75BA21495B}"/>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3EF072E0-E38E-4766-86F8-786CE5C7D229}"/>
    <cellStyle name="Normal 4 2 5 2 4 2 3" xfId="12357" xr:uid="{5ABCE18B-E987-41C5-BE21-C1E6469BAE3F}"/>
    <cellStyle name="Normal 4 2 5 2 4 3" xfId="5980" xr:uid="{00000000-0005-0000-0000-0000D8130000}"/>
    <cellStyle name="Normal 4 2 5 2 4 3 2" xfId="14430" xr:uid="{99D207F1-B2FE-4B07-BAF9-8CAB28BE4E4D}"/>
    <cellStyle name="Normal 4 2 5 2 4 4" xfId="10212" xr:uid="{5ACE7306-58C3-4E76-9C55-42D716581F47}"/>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A2BCD4C4-6F0C-449E-9873-36282DAC415D}"/>
    <cellStyle name="Normal 4 2 5 2 5 2 3" xfId="12770" xr:uid="{B7554ECE-6A98-4694-A7FA-C9B1A9B15509}"/>
    <cellStyle name="Normal 4 2 5 2 5 3" xfId="6393" xr:uid="{00000000-0005-0000-0000-0000DC130000}"/>
    <cellStyle name="Normal 4 2 5 2 5 3 2" xfId="14843" xr:uid="{0DF4E109-F85A-4AD8-8414-D4CB9B35DE57}"/>
    <cellStyle name="Normal 4 2 5 2 5 4" xfId="10625" xr:uid="{1A306B20-CA15-4E7A-8E1D-28CD19495B85}"/>
    <cellStyle name="Normal 4 2 5 2 6" xfId="2523" xr:uid="{00000000-0005-0000-0000-0000DD130000}"/>
    <cellStyle name="Normal 4 2 5 2 6 2" xfId="6806" xr:uid="{00000000-0005-0000-0000-0000DE130000}"/>
    <cellStyle name="Normal 4 2 5 2 6 2 2" xfId="15256" xr:uid="{9314CD72-754C-4E37-9239-09FB7FB9F6AE}"/>
    <cellStyle name="Normal 4 2 5 2 6 3" xfId="11038" xr:uid="{5CF63A80-48FF-454E-B64B-230497421B09}"/>
    <cellStyle name="Normal 4 2 5 2 7" xfId="4741" xr:uid="{00000000-0005-0000-0000-0000DF130000}"/>
    <cellStyle name="Normal 4 2 5 2 7 2" xfId="13191" xr:uid="{E6882D9B-46BC-422F-84C6-1D90A082E16F}"/>
    <cellStyle name="Normal 4 2 5 2 8" xfId="8973" xr:uid="{DE14F526-EABD-4AE6-B315-27852F5B726C}"/>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7A212038-9ADF-4AFA-98A0-B40DC7AE6611}"/>
    <cellStyle name="Normal 4 2 5 3 2 3" xfId="11530" xr:uid="{6D1D266F-5667-4A26-A19D-58C1A86B6525}"/>
    <cellStyle name="Normal 4 2 5 3 3" xfId="5153" xr:uid="{00000000-0005-0000-0000-0000E3130000}"/>
    <cellStyle name="Normal 4 2 5 3 3 2" xfId="13603" xr:uid="{8EC206B2-8BDC-426B-8607-69C82D402FC5}"/>
    <cellStyle name="Normal 4 2 5 3 4" xfId="9385" xr:uid="{F0D7FDCA-8861-4EF5-A990-A5CF5EF97A4E}"/>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C46F30CA-DC8C-4D0D-8571-D88868DEF893}"/>
    <cellStyle name="Normal 4 2 5 4 2 3" xfId="11943" xr:uid="{CD8A3FBD-BF86-4E4A-B011-AE5E15873581}"/>
    <cellStyle name="Normal 4 2 5 4 3" xfId="5566" xr:uid="{00000000-0005-0000-0000-0000E7130000}"/>
    <cellStyle name="Normal 4 2 5 4 3 2" xfId="14016" xr:uid="{EF1657E2-4FBD-4B89-9BC5-F4DAAA113B6C}"/>
    <cellStyle name="Normal 4 2 5 4 4" xfId="9798" xr:uid="{0EBB62AA-7330-43F9-B3CF-DF757EED20BD}"/>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3D4B79FB-B668-46F1-B8EF-8C6F4784E3D7}"/>
    <cellStyle name="Normal 4 2 5 5 2 3" xfId="12356" xr:uid="{CCD1DF44-4818-41BA-B119-DEC6AEA3D02F}"/>
    <cellStyle name="Normal 4 2 5 5 3" xfId="5979" xr:uid="{00000000-0005-0000-0000-0000EB130000}"/>
    <cellStyle name="Normal 4 2 5 5 3 2" xfId="14429" xr:uid="{A7EA4D8A-EA29-44EF-8209-99879D1223D1}"/>
    <cellStyle name="Normal 4 2 5 5 4" xfId="10211" xr:uid="{57F917EC-D5DF-445C-B60F-5E65238BF530}"/>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70251F46-AA73-406D-B92E-D493935295AD}"/>
    <cellStyle name="Normal 4 2 5 6 2 3" xfId="12769" xr:uid="{888D7A59-3D9B-4776-ABDB-EFCCF5175D9D}"/>
    <cellStyle name="Normal 4 2 5 6 3" xfId="6392" xr:uid="{00000000-0005-0000-0000-0000EF130000}"/>
    <cellStyle name="Normal 4 2 5 6 3 2" xfId="14842" xr:uid="{6FAAAE3B-B2EC-41EB-BF2B-40DDD591A291}"/>
    <cellStyle name="Normal 4 2 5 6 4" xfId="10624" xr:uid="{871959FB-BD39-49F8-8FB0-E706E8AD4144}"/>
    <cellStyle name="Normal 4 2 5 7" xfId="2522" xr:uid="{00000000-0005-0000-0000-0000F0130000}"/>
    <cellStyle name="Normal 4 2 5 7 2" xfId="6805" xr:uid="{00000000-0005-0000-0000-0000F1130000}"/>
    <cellStyle name="Normal 4 2 5 7 2 2" xfId="15255" xr:uid="{6E17786F-AAA4-4B7C-A78A-73D420DF273A}"/>
    <cellStyle name="Normal 4 2 5 7 3" xfId="11037" xr:uid="{77EC8293-21DF-4202-81AA-C085AA74CB70}"/>
    <cellStyle name="Normal 4 2 5 8" xfId="4740" xr:uid="{00000000-0005-0000-0000-0000F2130000}"/>
    <cellStyle name="Normal 4 2 5 8 2" xfId="13190" xr:uid="{AB6CCC48-53C4-42FB-AFF0-FD548D642658}"/>
    <cellStyle name="Normal 4 2 5 9" xfId="8972" xr:uid="{611160C9-2189-4F05-BA41-79734F8590CD}"/>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2B82188E-E77D-409D-BD08-E5D084C7E92E}"/>
    <cellStyle name="Normal 4 2 6 2 2 3" xfId="11532" xr:uid="{C0FBC8B3-4E60-4D0F-A085-47990936DE60}"/>
    <cellStyle name="Normal 4 2 6 2 3" xfId="5155" xr:uid="{00000000-0005-0000-0000-0000F7130000}"/>
    <cellStyle name="Normal 4 2 6 2 3 2" xfId="13605" xr:uid="{C4F4558F-2D21-48B4-88D6-95004C3E53E7}"/>
    <cellStyle name="Normal 4 2 6 2 4" xfId="9387" xr:uid="{1A0DC31F-F8C7-48D5-B5E0-9F1F92DEE4E6}"/>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5BE7FAB4-CD98-4ADA-A7A0-8BF8D0129B9F}"/>
    <cellStyle name="Normal 4 2 6 3 2 3" xfId="11945" xr:uid="{CACDCE66-CF6F-4B7F-9838-97DE8E047A21}"/>
    <cellStyle name="Normal 4 2 6 3 3" xfId="5568" xr:uid="{00000000-0005-0000-0000-0000FB130000}"/>
    <cellStyle name="Normal 4 2 6 3 3 2" xfId="14018" xr:uid="{BDBDFE98-A706-4D68-B281-45DAAACF7193}"/>
    <cellStyle name="Normal 4 2 6 3 4" xfId="9800" xr:uid="{758CD0E3-451A-46D0-B878-BCCD88F6DE12}"/>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6F6C1566-F56C-4DFB-AD82-7E9050C54F77}"/>
    <cellStyle name="Normal 4 2 6 4 2 3" xfId="12358" xr:uid="{298B8182-0EB4-42A0-BF38-1BE57C38B71A}"/>
    <cellStyle name="Normal 4 2 6 4 3" xfId="5981" xr:uid="{00000000-0005-0000-0000-0000FF130000}"/>
    <cellStyle name="Normal 4 2 6 4 3 2" xfId="14431" xr:uid="{B2656B52-E07D-425B-99AC-9D53C4A53E2F}"/>
    <cellStyle name="Normal 4 2 6 4 4" xfId="10213" xr:uid="{910B7EA4-C4CA-44F0-9AC1-BB1982F84BCB}"/>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A87E6A30-D484-4437-9CC5-D8107860A55C}"/>
    <cellStyle name="Normal 4 2 6 5 2 3" xfId="12771" xr:uid="{46653E9C-52F5-43E8-A2C5-7C7EDB6B93B2}"/>
    <cellStyle name="Normal 4 2 6 5 3" xfId="6394" xr:uid="{00000000-0005-0000-0000-000003140000}"/>
    <cellStyle name="Normal 4 2 6 5 3 2" xfId="14844" xr:uid="{765670B0-48EA-432D-BF38-FE9C7B96137B}"/>
    <cellStyle name="Normal 4 2 6 5 4" xfId="10626" xr:uid="{01C88186-6736-4733-9CC0-D8E12C769805}"/>
    <cellStyle name="Normal 4 2 6 6" xfId="2524" xr:uid="{00000000-0005-0000-0000-000004140000}"/>
    <cellStyle name="Normal 4 2 6 6 2" xfId="6807" xr:uid="{00000000-0005-0000-0000-000005140000}"/>
    <cellStyle name="Normal 4 2 6 6 2 2" xfId="15257" xr:uid="{7E27D04C-967C-4D64-8484-7D989DB10F1E}"/>
    <cellStyle name="Normal 4 2 6 6 3" xfId="11039" xr:uid="{9F2FABFE-104C-40D1-9E31-5408084136E7}"/>
    <cellStyle name="Normal 4 2 6 7" xfId="4742" xr:uid="{00000000-0005-0000-0000-000006140000}"/>
    <cellStyle name="Normal 4 2 6 7 2" xfId="13192" xr:uid="{F01FBB18-5EAF-4186-841A-695AEFBF3B91}"/>
    <cellStyle name="Normal 4 2 6 8" xfId="8974" xr:uid="{444638E8-0484-4DE9-BDDA-2BFB611A4FEF}"/>
    <cellStyle name="Normal 4 3" xfId="366" xr:uid="{00000000-0005-0000-0000-000007140000}"/>
    <cellStyle name="Normal 4 3 10" xfId="8975" xr:uid="{DB26803E-7C1F-453C-8510-F5D340076E64}"/>
    <cellStyle name="Normal 4 3 2" xfId="367" xr:uid="{00000000-0005-0000-0000-000008140000}"/>
    <cellStyle name="Normal 4 3 2 2" xfId="368" xr:uid="{00000000-0005-0000-0000-000009140000}"/>
    <cellStyle name="Normal 4 3 2 2 2" xfId="369" xr:uid="{00000000-0005-0000-0000-00000A140000}"/>
    <cellStyle name="Normal 4 3 2 2 2 10" xfId="8976" xr:uid="{19827EA2-C4DD-4D60-B463-59D75C14401A}"/>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831DA6AB-8DC0-4BCB-90AC-E09D17431D2D}"/>
    <cellStyle name="Normal 4 3 2 2 2 2 2 2 2 3" xfId="11536" xr:uid="{03DB21E9-46BD-42CD-844F-65F803C22063}"/>
    <cellStyle name="Normal 4 3 2 2 2 2 2 2 3" xfId="5159" xr:uid="{00000000-0005-0000-0000-000010140000}"/>
    <cellStyle name="Normal 4 3 2 2 2 2 2 2 3 2" xfId="13609" xr:uid="{8F1D1977-F424-4F1A-935C-CC32F11CC858}"/>
    <cellStyle name="Normal 4 3 2 2 2 2 2 2 4" xfId="9391" xr:uid="{422035C0-BC0E-4075-B02C-06174660414A}"/>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F535DD33-EF3E-40CA-9B30-D5B42FD5FD12}"/>
    <cellStyle name="Normal 4 3 2 2 2 2 2 3 2 3" xfId="11949" xr:uid="{A210C9BD-35E9-4AEA-8DD7-E96BD4DEFCB2}"/>
    <cellStyle name="Normal 4 3 2 2 2 2 2 3 3" xfId="5572" xr:uid="{00000000-0005-0000-0000-000014140000}"/>
    <cellStyle name="Normal 4 3 2 2 2 2 2 3 3 2" xfId="14022" xr:uid="{FDF03ACF-22E3-4884-AEE3-5947C519BCC8}"/>
    <cellStyle name="Normal 4 3 2 2 2 2 2 3 4" xfId="9804" xr:uid="{43DE3FA4-ECE1-4348-8E9D-16AD4106C805}"/>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DF3DE40A-5C88-485D-8E7C-36D6EA647C7C}"/>
    <cellStyle name="Normal 4 3 2 2 2 2 2 4 2 3" xfId="12362" xr:uid="{D3D6FC42-7A73-4D36-9EBC-EF91900401BB}"/>
    <cellStyle name="Normal 4 3 2 2 2 2 2 4 3" xfId="5985" xr:uid="{00000000-0005-0000-0000-000018140000}"/>
    <cellStyle name="Normal 4 3 2 2 2 2 2 4 3 2" xfId="14435" xr:uid="{5F611D19-25A2-4BD2-A7C2-C357E8AC2440}"/>
    <cellStyle name="Normal 4 3 2 2 2 2 2 4 4" xfId="10217" xr:uid="{0596926B-5FDC-457A-9CC5-1F0D62ED39E9}"/>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5281C310-2940-46A5-ACC1-D1B26B4D5667}"/>
    <cellStyle name="Normal 4 3 2 2 2 2 2 5 2 3" xfId="12775" xr:uid="{1D9DBFBB-A973-43CC-B467-A682A61E21B8}"/>
    <cellStyle name="Normal 4 3 2 2 2 2 2 5 3" xfId="6398" xr:uid="{00000000-0005-0000-0000-00001C140000}"/>
    <cellStyle name="Normal 4 3 2 2 2 2 2 5 3 2" xfId="14848" xr:uid="{2D5CB33C-37AA-426A-8783-65DD7D9312F6}"/>
    <cellStyle name="Normal 4 3 2 2 2 2 2 5 4" xfId="10630" xr:uid="{3B45718E-9024-461C-807D-4B9208580692}"/>
    <cellStyle name="Normal 4 3 2 2 2 2 2 6" xfId="2528" xr:uid="{00000000-0005-0000-0000-00001D140000}"/>
    <cellStyle name="Normal 4 3 2 2 2 2 2 6 2" xfId="6811" xr:uid="{00000000-0005-0000-0000-00001E140000}"/>
    <cellStyle name="Normal 4 3 2 2 2 2 2 6 2 2" xfId="15261" xr:uid="{5EBA1EC3-F506-4AA0-B7F0-8FED8BED3D84}"/>
    <cellStyle name="Normal 4 3 2 2 2 2 2 6 3" xfId="11043" xr:uid="{4255344F-04DC-4507-9310-2D4A2ADB60B7}"/>
    <cellStyle name="Normal 4 3 2 2 2 2 2 7" xfId="4746" xr:uid="{00000000-0005-0000-0000-00001F140000}"/>
    <cellStyle name="Normal 4 3 2 2 2 2 2 7 2" xfId="13196" xr:uid="{1E6C6FEE-E9DC-4256-A9DA-184ABE6EAF4C}"/>
    <cellStyle name="Normal 4 3 2 2 2 2 2 8" xfId="8978" xr:uid="{49283E49-FB26-4957-AB12-000617873573}"/>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AF83FDCB-C58E-4BD6-A495-6A19DFFF0788}"/>
    <cellStyle name="Normal 4 3 2 2 2 2 3 2 3" xfId="11535" xr:uid="{8209BB00-6569-4540-9CDE-CC5719916755}"/>
    <cellStyle name="Normal 4 3 2 2 2 2 3 3" xfId="5158" xr:uid="{00000000-0005-0000-0000-000023140000}"/>
    <cellStyle name="Normal 4 3 2 2 2 2 3 3 2" xfId="13608" xr:uid="{95AD5F47-3EF3-4C4C-A21C-693E833FC5D0}"/>
    <cellStyle name="Normal 4 3 2 2 2 2 3 4" xfId="9390" xr:uid="{631B789E-C735-4C4E-BA95-4246DB945249}"/>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19DEFEEC-E41B-4FDF-AE02-D74D7FDA5CCC}"/>
    <cellStyle name="Normal 4 3 2 2 2 2 4 2 3" xfId="11948" xr:uid="{4AF87A5C-5271-4185-A599-C547B2D5EBCD}"/>
    <cellStyle name="Normal 4 3 2 2 2 2 4 3" xfId="5571" xr:uid="{00000000-0005-0000-0000-000027140000}"/>
    <cellStyle name="Normal 4 3 2 2 2 2 4 3 2" xfId="14021" xr:uid="{C79E897C-D3D8-4013-AADF-A45D26B125F8}"/>
    <cellStyle name="Normal 4 3 2 2 2 2 4 4" xfId="9803" xr:uid="{02B8A9A8-D7E3-4352-A42C-CBC9033BC15A}"/>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D1CB36D7-31EF-4C92-BC27-83733C280C2D}"/>
    <cellStyle name="Normal 4 3 2 2 2 2 5 2 3" xfId="12361" xr:uid="{081AB3AC-A858-461A-90C6-E4FC542E3339}"/>
    <cellStyle name="Normal 4 3 2 2 2 2 5 3" xfId="5984" xr:uid="{00000000-0005-0000-0000-00002B140000}"/>
    <cellStyle name="Normal 4 3 2 2 2 2 5 3 2" xfId="14434" xr:uid="{A15013C0-B481-449F-A311-396D2E7D1CB2}"/>
    <cellStyle name="Normal 4 3 2 2 2 2 5 4" xfId="10216" xr:uid="{5742688B-336E-4C7D-8424-6787B2047AE8}"/>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FA546A3E-2F4B-48F1-94E5-4756E9EA3151}"/>
    <cellStyle name="Normal 4 3 2 2 2 2 6 2 3" xfId="12774" xr:uid="{5A79BC2F-5FF8-449F-948E-D98CD9E3A4F2}"/>
    <cellStyle name="Normal 4 3 2 2 2 2 6 3" xfId="6397" xr:uid="{00000000-0005-0000-0000-00002F140000}"/>
    <cellStyle name="Normal 4 3 2 2 2 2 6 3 2" xfId="14847" xr:uid="{83C03E70-DC27-4DCB-BDF5-591DAFA5B511}"/>
    <cellStyle name="Normal 4 3 2 2 2 2 6 4" xfId="10629" xr:uid="{41FB4AB1-C372-4F24-A8E2-026D060231D1}"/>
    <cellStyle name="Normal 4 3 2 2 2 2 7" xfId="2527" xr:uid="{00000000-0005-0000-0000-000030140000}"/>
    <cellStyle name="Normal 4 3 2 2 2 2 7 2" xfId="6810" xr:uid="{00000000-0005-0000-0000-000031140000}"/>
    <cellStyle name="Normal 4 3 2 2 2 2 7 2 2" xfId="15260" xr:uid="{DEC9AE0E-9456-4D56-8641-42DC8BD1D1F3}"/>
    <cellStyle name="Normal 4 3 2 2 2 2 7 3" xfId="11042" xr:uid="{AB4F0AC4-99D2-4B6D-A227-F09762A797F2}"/>
    <cellStyle name="Normal 4 3 2 2 2 2 8" xfId="4745" xr:uid="{00000000-0005-0000-0000-000032140000}"/>
    <cellStyle name="Normal 4 3 2 2 2 2 8 2" xfId="13195" xr:uid="{686DD876-A3F2-4C68-879C-81CC6B01826F}"/>
    <cellStyle name="Normal 4 3 2 2 2 2 9" xfId="8977" xr:uid="{5F29D35C-1C87-496A-AF2D-46D4164EDDD5}"/>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6BB4EDC1-94F8-4242-8E4B-83B488118873}"/>
    <cellStyle name="Normal 4 3 2 2 2 3 2 2 3" xfId="11537" xr:uid="{0E451763-CF20-4A50-AB6E-0AAF6CB602D9}"/>
    <cellStyle name="Normal 4 3 2 2 2 3 2 3" xfId="5160" xr:uid="{00000000-0005-0000-0000-000037140000}"/>
    <cellStyle name="Normal 4 3 2 2 2 3 2 3 2" xfId="13610" xr:uid="{98C3DD08-8407-498A-A130-B15349E235EA}"/>
    <cellStyle name="Normal 4 3 2 2 2 3 2 4" xfId="9392" xr:uid="{181926F5-941E-4255-824E-14DE05B64B36}"/>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69D4BECD-7DE8-4593-A010-999D2E5F4DAA}"/>
    <cellStyle name="Normal 4 3 2 2 2 3 3 2 3" xfId="11950" xr:uid="{49C10369-F9B1-4FA1-BBE4-E0E9066C6FA5}"/>
    <cellStyle name="Normal 4 3 2 2 2 3 3 3" xfId="5573" xr:uid="{00000000-0005-0000-0000-00003B140000}"/>
    <cellStyle name="Normal 4 3 2 2 2 3 3 3 2" xfId="14023" xr:uid="{C8711D61-3894-4CED-A082-DEC2CCC4D023}"/>
    <cellStyle name="Normal 4 3 2 2 2 3 3 4" xfId="9805" xr:uid="{F7B093DA-EEF3-4A80-B264-01B56BA21F57}"/>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1634F7ED-D8D4-40D8-905E-6BF363FEACF8}"/>
    <cellStyle name="Normal 4 3 2 2 2 3 4 2 3" xfId="12363" xr:uid="{FCB643BF-8686-48E0-92EB-D1BC04742D21}"/>
    <cellStyle name="Normal 4 3 2 2 2 3 4 3" xfId="5986" xr:uid="{00000000-0005-0000-0000-00003F140000}"/>
    <cellStyle name="Normal 4 3 2 2 2 3 4 3 2" xfId="14436" xr:uid="{22499495-3A24-426E-BFCE-BC74A0F16DB5}"/>
    <cellStyle name="Normal 4 3 2 2 2 3 4 4" xfId="10218" xr:uid="{BAB16315-1CAA-4304-9492-6A9B3B6AE274}"/>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A0FD33BE-359D-4571-8FD7-00E6F51E00B8}"/>
    <cellStyle name="Normal 4 3 2 2 2 3 5 2 3" xfId="12776" xr:uid="{BBC64C8F-54E6-4911-B7A7-8D010B76E50D}"/>
    <cellStyle name="Normal 4 3 2 2 2 3 5 3" xfId="6399" xr:uid="{00000000-0005-0000-0000-000043140000}"/>
    <cellStyle name="Normal 4 3 2 2 2 3 5 3 2" xfId="14849" xr:uid="{993211BA-1EEC-4831-8F16-54634BE09A1D}"/>
    <cellStyle name="Normal 4 3 2 2 2 3 5 4" xfId="10631" xr:uid="{EAF63D1B-4D53-4E97-AA63-063E50960D05}"/>
    <cellStyle name="Normal 4 3 2 2 2 3 6" xfId="2529" xr:uid="{00000000-0005-0000-0000-000044140000}"/>
    <cellStyle name="Normal 4 3 2 2 2 3 6 2" xfId="6812" xr:uid="{00000000-0005-0000-0000-000045140000}"/>
    <cellStyle name="Normal 4 3 2 2 2 3 6 2 2" xfId="15262" xr:uid="{5C9FD45A-F7D4-4B85-9EE1-B2F5BF8C9A94}"/>
    <cellStyle name="Normal 4 3 2 2 2 3 6 3" xfId="11044" xr:uid="{DDA58ACB-E55A-4DC0-A3D1-8E5A2FA90C5D}"/>
    <cellStyle name="Normal 4 3 2 2 2 3 7" xfId="4747" xr:uid="{00000000-0005-0000-0000-000046140000}"/>
    <cellStyle name="Normal 4 3 2 2 2 3 7 2" xfId="13197" xr:uid="{145439D6-C8C9-47ED-95E4-C084568C0959}"/>
    <cellStyle name="Normal 4 3 2 2 2 3 8" xfId="8979" xr:uid="{ED1A174D-1E2F-47B2-8D47-AC7463D9BA84}"/>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B7299CC1-2314-4F01-A8AA-DBAF41552E5D}"/>
    <cellStyle name="Normal 4 3 2 2 2 4 2 3" xfId="11534" xr:uid="{71B4E8C3-E22C-48DF-B2AF-4A5BE07B87B1}"/>
    <cellStyle name="Normal 4 3 2 2 2 4 3" xfId="5157" xr:uid="{00000000-0005-0000-0000-00004A140000}"/>
    <cellStyle name="Normal 4 3 2 2 2 4 3 2" xfId="13607" xr:uid="{41C54E9B-0A6C-434A-9662-EE2B953B547C}"/>
    <cellStyle name="Normal 4 3 2 2 2 4 4" xfId="9389" xr:uid="{3908D891-5C1E-4212-BD64-EE81A4D5D832}"/>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7AD9CD55-39F4-416C-A80F-D65D8D238056}"/>
    <cellStyle name="Normal 4 3 2 2 2 5 2 3" xfId="11947" xr:uid="{DE25C304-199A-4149-A352-4A03B72463E1}"/>
    <cellStyle name="Normal 4 3 2 2 2 5 3" xfId="5570" xr:uid="{00000000-0005-0000-0000-00004E140000}"/>
    <cellStyle name="Normal 4 3 2 2 2 5 3 2" xfId="14020" xr:uid="{A33941EA-4CA2-442A-A8EC-D66D87C15FBB}"/>
    <cellStyle name="Normal 4 3 2 2 2 5 4" xfId="9802" xr:uid="{312F2C62-062A-4254-B907-349242DBE872}"/>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171D8A8C-6D39-415B-8E4A-C66F7A93268A}"/>
    <cellStyle name="Normal 4 3 2 2 2 6 2 3" xfId="12360" xr:uid="{F7217F2B-010E-43E8-8200-2FB422F5AEB4}"/>
    <cellStyle name="Normal 4 3 2 2 2 6 3" xfId="5983" xr:uid="{00000000-0005-0000-0000-000052140000}"/>
    <cellStyle name="Normal 4 3 2 2 2 6 3 2" xfId="14433" xr:uid="{80877C7C-A429-40E4-A5C5-3D45E3AA0AD7}"/>
    <cellStyle name="Normal 4 3 2 2 2 6 4" xfId="10215" xr:uid="{15627616-08C8-4CDB-8DBA-8DBFC5711B4B}"/>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904B1518-C0F6-479B-B7A3-78D8F6472E1A}"/>
    <cellStyle name="Normal 4 3 2 2 2 7 2 3" xfId="12773" xr:uid="{A885D018-BD88-4B1C-AFAE-9ED92FF09B46}"/>
    <cellStyle name="Normal 4 3 2 2 2 7 3" xfId="6396" xr:uid="{00000000-0005-0000-0000-000056140000}"/>
    <cellStyle name="Normal 4 3 2 2 2 7 3 2" xfId="14846" xr:uid="{2A217E31-FA96-4BC7-85E0-9568E82083CC}"/>
    <cellStyle name="Normal 4 3 2 2 2 7 4" xfId="10628" xr:uid="{98947881-02FA-4452-B514-CE4CC466CCB1}"/>
    <cellStyle name="Normal 4 3 2 2 2 8" xfId="2526" xr:uid="{00000000-0005-0000-0000-000057140000}"/>
    <cellStyle name="Normal 4 3 2 2 2 8 2" xfId="6809" xr:uid="{00000000-0005-0000-0000-000058140000}"/>
    <cellStyle name="Normal 4 3 2 2 2 8 2 2" xfId="15259" xr:uid="{8824719A-F096-4117-99D0-021F2213BD08}"/>
    <cellStyle name="Normal 4 3 2 2 2 8 3" xfId="11041" xr:uid="{2C677EB2-32C5-4DBA-906D-922ED4AC4030}"/>
    <cellStyle name="Normal 4 3 2 2 2 9" xfId="4744" xr:uid="{00000000-0005-0000-0000-000059140000}"/>
    <cellStyle name="Normal 4 3 2 2 2 9 2" xfId="13194" xr:uid="{B64E9B81-C217-40BD-A140-62C136D009C1}"/>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80" xr:uid="{FF7EF2EC-78F0-4993-95FA-203B266C7079}"/>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70F68C00-657E-4361-8F28-0C18E6EF2542}"/>
    <cellStyle name="Normal 4 3 3 2 2 2 2 3" xfId="11540" xr:uid="{4B1254F7-0C31-45A8-AFF7-4AAB958C6752}"/>
    <cellStyle name="Normal 4 3 3 2 2 2 3" xfId="5163" xr:uid="{00000000-0005-0000-0000-000063140000}"/>
    <cellStyle name="Normal 4 3 3 2 2 2 3 2" xfId="13613" xr:uid="{10DA5D0E-B12B-4472-B912-551767E474EE}"/>
    <cellStyle name="Normal 4 3 3 2 2 2 4" xfId="9395" xr:uid="{B6A41FFF-39D5-4B74-8157-E161A6885761}"/>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1AC8EE06-E489-42CC-831E-696A9FC3E285}"/>
    <cellStyle name="Normal 4 3 3 2 2 3 2 3" xfId="11953" xr:uid="{87991CD9-87DA-4DA8-B3D7-2CEC35FB7106}"/>
    <cellStyle name="Normal 4 3 3 2 2 3 3" xfId="5576" xr:uid="{00000000-0005-0000-0000-000067140000}"/>
    <cellStyle name="Normal 4 3 3 2 2 3 3 2" xfId="14026" xr:uid="{90B25C04-0056-4CAB-A1A7-AF550E74DE09}"/>
    <cellStyle name="Normal 4 3 3 2 2 3 4" xfId="9808" xr:uid="{9D227914-0BAC-4299-99BF-8DD0A5C1DB29}"/>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75C9B10A-FFAE-4FA9-9CBF-BA80543717EE}"/>
    <cellStyle name="Normal 4 3 3 2 2 4 2 3" xfId="12366" xr:uid="{459FF96C-80F9-4EBF-9FDF-0567201BC5AC}"/>
    <cellStyle name="Normal 4 3 3 2 2 4 3" xfId="5989" xr:uid="{00000000-0005-0000-0000-00006B140000}"/>
    <cellStyle name="Normal 4 3 3 2 2 4 3 2" xfId="14439" xr:uid="{A9EEFC3C-88C7-4853-A541-41FFDB7268CA}"/>
    <cellStyle name="Normal 4 3 3 2 2 4 4" xfId="10221" xr:uid="{3A79ACA1-7E55-4577-B8EA-8C1BADF00712}"/>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74747A5E-A1BB-472E-8DBB-13DC891D0B2F}"/>
    <cellStyle name="Normal 4 3 3 2 2 5 2 3" xfId="12779" xr:uid="{32E180BC-FCD9-4158-8093-AF74A34AB60E}"/>
    <cellStyle name="Normal 4 3 3 2 2 5 3" xfId="6402" xr:uid="{00000000-0005-0000-0000-00006F140000}"/>
    <cellStyle name="Normal 4 3 3 2 2 5 3 2" xfId="14852" xr:uid="{22025297-AA4B-4FDB-9A37-12D5D9C6ADC8}"/>
    <cellStyle name="Normal 4 3 3 2 2 5 4" xfId="10634" xr:uid="{774F4D24-8D15-4832-AC56-4B70C0105CB0}"/>
    <cellStyle name="Normal 4 3 3 2 2 6" xfId="2532" xr:uid="{00000000-0005-0000-0000-000070140000}"/>
    <cellStyle name="Normal 4 3 3 2 2 6 2" xfId="6815" xr:uid="{00000000-0005-0000-0000-000071140000}"/>
    <cellStyle name="Normal 4 3 3 2 2 6 2 2" xfId="15265" xr:uid="{36C11907-1082-4745-8A21-712C0E14C190}"/>
    <cellStyle name="Normal 4 3 3 2 2 6 3" xfId="11047" xr:uid="{10E43F5C-2BEE-4425-924F-706C544B332F}"/>
    <cellStyle name="Normal 4 3 3 2 2 7" xfId="4750" xr:uid="{00000000-0005-0000-0000-000072140000}"/>
    <cellStyle name="Normal 4 3 3 2 2 7 2" xfId="13200" xr:uid="{789286A9-C991-4803-8633-6288C4290BD7}"/>
    <cellStyle name="Normal 4 3 3 2 2 8" xfId="8982" xr:uid="{039A0719-08BF-4FBA-A5DA-B691E43D469D}"/>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846EFBBD-148E-45E3-AC11-A7AA39849FCB}"/>
    <cellStyle name="Normal 4 3 3 2 3 2 3" xfId="11539" xr:uid="{CF9CF51A-35E5-4DC2-B2F5-804D3B49783B}"/>
    <cellStyle name="Normal 4 3 3 2 3 3" xfId="5162" xr:uid="{00000000-0005-0000-0000-000076140000}"/>
    <cellStyle name="Normal 4 3 3 2 3 3 2" xfId="13612" xr:uid="{96F0EFD3-87B4-49E9-A74C-E5AAE3ADE857}"/>
    <cellStyle name="Normal 4 3 3 2 3 4" xfId="9394" xr:uid="{E8EC839D-57B5-4213-9B1D-9F4AC3F37140}"/>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3B3F7D6A-28EB-4C9F-8791-30CB7AA3BBEA}"/>
    <cellStyle name="Normal 4 3 3 2 4 2 3" xfId="11952" xr:uid="{9133F1FB-0AF0-404F-BAAC-08B658A68802}"/>
    <cellStyle name="Normal 4 3 3 2 4 3" xfId="5575" xr:uid="{00000000-0005-0000-0000-00007A140000}"/>
    <cellStyle name="Normal 4 3 3 2 4 3 2" xfId="14025" xr:uid="{57330309-E842-4A75-A369-6ACC7B5083AB}"/>
    <cellStyle name="Normal 4 3 3 2 4 4" xfId="9807" xr:uid="{EC9016EE-CBA6-4841-BA41-B4937FCDE555}"/>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8CCDD863-86C6-4887-A1D6-BC80EBCDF1DA}"/>
    <cellStyle name="Normal 4 3 3 2 5 2 3" xfId="12365" xr:uid="{F3BDEB33-4872-43E5-847C-A051D0104B6D}"/>
    <cellStyle name="Normal 4 3 3 2 5 3" xfId="5988" xr:uid="{00000000-0005-0000-0000-00007E140000}"/>
    <cellStyle name="Normal 4 3 3 2 5 3 2" xfId="14438" xr:uid="{6151AF89-A64C-4B53-8161-76A80D192DEB}"/>
    <cellStyle name="Normal 4 3 3 2 5 4" xfId="10220" xr:uid="{5348398C-D38B-4C3C-A30C-05E90251FD7B}"/>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B08F932E-9170-4715-B621-352EC31685CD}"/>
    <cellStyle name="Normal 4 3 3 2 6 2 3" xfId="12778" xr:uid="{F734BE20-8901-4A53-AF50-970BA0C533E5}"/>
    <cellStyle name="Normal 4 3 3 2 6 3" xfId="6401" xr:uid="{00000000-0005-0000-0000-000082140000}"/>
    <cellStyle name="Normal 4 3 3 2 6 3 2" xfId="14851" xr:uid="{1484FF28-92DF-49D1-8DF4-FB316FE4A74B}"/>
    <cellStyle name="Normal 4 3 3 2 6 4" xfId="10633" xr:uid="{C7B63778-49A8-4B61-B1D9-0D2D48E6D06E}"/>
    <cellStyle name="Normal 4 3 3 2 7" xfId="2531" xr:uid="{00000000-0005-0000-0000-000083140000}"/>
    <cellStyle name="Normal 4 3 3 2 7 2" xfId="6814" xr:uid="{00000000-0005-0000-0000-000084140000}"/>
    <cellStyle name="Normal 4 3 3 2 7 2 2" xfId="15264" xr:uid="{91CC679C-E961-45C5-8D7B-FEAAA51540AB}"/>
    <cellStyle name="Normal 4 3 3 2 7 3" xfId="11046" xr:uid="{8D94F4F6-B130-4556-9D48-80DDCB3FCD85}"/>
    <cellStyle name="Normal 4 3 3 2 8" xfId="4749" xr:uid="{00000000-0005-0000-0000-000085140000}"/>
    <cellStyle name="Normal 4 3 3 2 8 2" xfId="13199" xr:uid="{EDEF4D2B-44C0-456D-B7C8-CFC5D3B0BEA1}"/>
    <cellStyle name="Normal 4 3 3 2 9" xfId="8981" xr:uid="{F03711FD-E50C-477E-BAB6-718CBB18D59A}"/>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E0032FF9-046E-4C20-8AE8-501F4EA9A22A}"/>
    <cellStyle name="Normal 4 3 3 3 2 2 3" xfId="11541" xr:uid="{BBC9B058-4CB3-40D7-872E-ADE60E8DFFD8}"/>
    <cellStyle name="Normal 4 3 3 3 2 3" xfId="5164" xr:uid="{00000000-0005-0000-0000-00008A140000}"/>
    <cellStyle name="Normal 4 3 3 3 2 3 2" xfId="13614" xr:uid="{B094CFA7-81A5-4296-A86E-705947F61CF0}"/>
    <cellStyle name="Normal 4 3 3 3 2 4" xfId="9396" xr:uid="{9CBF7F91-487B-4B9B-AD43-CF055808288F}"/>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78C6C495-224B-497F-B6D1-A48EC5388264}"/>
    <cellStyle name="Normal 4 3 3 3 3 2 3" xfId="11954" xr:uid="{6A8F744D-27FF-406E-A053-4D99A6478655}"/>
    <cellStyle name="Normal 4 3 3 3 3 3" xfId="5577" xr:uid="{00000000-0005-0000-0000-00008E140000}"/>
    <cellStyle name="Normal 4 3 3 3 3 3 2" xfId="14027" xr:uid="{CF8CDFC0-0222-42C9-BBEC-08ABEA1D3C40}"/>
    <cellStyle name="Normal 4 3 3 3 3 4" xfId="9809" xr:uid="{4C7D2175-828A-4458-B525-EB0F9D75D798}"/>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D12FD304-48F2-4CF0-B0BD-085A80567934}"/>
    <cellStyle name="Normal 4 3 3 3 4 2 3" xfId="12367" xr:uid="{A6160489-0E7C-4F7B-9103-8C91A394EA51}"/>
    <cellStyle name="Normal 4 3 3 3 4 3" xfId="5990" xr:uid="{00000000-0005-0000-0000-000092140000}"/>
    <cellStyle name="Normal 4 3 3 3 4 3 2" xfId="14440" xr:uid="{C4022C6F-1FBA-4B7F-8EAE-1FE008558569}"/>
    <cellStyle name="Normal 4 3 3 3 4 4" xfId="10222" xr:uid="{7EC84066-31FE-42E0-AC45-2C3487F54E64}"/>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84B59B71-DEB6-476D-92C9-35B4BE566F5E}"/>
    <cellStyle name="Normal 4 3 3 3 5 2 3" xfId="12780" xr:uid="{921B5A28-4AB1-41EA-88C3-819CC0BF0E35}"/>
    <cellStyle name="Normal 4 3 3 3 5 3" xfId="6403" xr:uid="{00000000-0005-0000-0000-000096140000}"/>
    <cellStyle name="Normal 4 3 3 3 5 3 2" xfId="14853" xr:uid="{024B00A9-F539-41BB-B55C-812BBB34E414}"/>
    <cellStyle name="Normal 4 3 3 3 5 4" xfId="10635" xr:uid="{0E4C4401-1A38-4E94-8268-576D081C28D3}"/>
    <cellStyle name="Normal 4 3 3 3 6" xfId="2533" xr:uid="{00000000-0005-0000-0000-000097140000}"/>
    <cellStyle name="Normal 4 3 3 3 6 2" xfId="6816" xr:uid="{00000000-0005-0000-0000-000098140000}"/>
    <cellStyle name="Normal 4 3 3 3 6 2 2" xfId="15266" xr:uid="{6E3DCB09-0146-40DD-943A-C20F49DF7B9F}"/>
    <cellStyle name="Normal 4 3 3 3 6 3" xfId="11048" xr:uid="{24F1B799-E543-4170-8D44-30B926E69544}"/>
    <cellStyle name="Normal 4 3 3 3 7" xfId="4751" xr:uid="{00000000-0005-0000-0000-000099140000}"/>
    <cellStyle name="Normal 4 3 3 3 7 2" xfId="13201" xr:uid="{6F4A9CA2-4CC4-45D8-8524-3E934D641A42}"/>
    <cellStyle name="Normal 4 3 3 3 8" xfId="8983" xr:uid="{C5988608-2650-4908-966A-2352D34FEF41}"/>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E0D2AE00-B6B1-49E5-91A5-CB3C8199655F}"/>
    <cellStyle name="Normal 4 3 3 4 2 3" xfId="11538" xr:uid="{AA76C19A-5816-4761-BDA0-EECE9306E218}"/>
    <cellStyle name="Normal 4 3 3 4 3" xfId="5161" xr:uid="{00000000-0005-0000-0000-00009D140000}"/>
    <cellStyle name="Normal 4 3 3 4 3 2" xfId="13611" xr:uid="{9B348963-5205-4A9C-BD8F-CCC67B55F776}"/>
    <cellStyle name="Normal 4 3 3 4 4" xfId="9393" xr:uid="{FBCF2597-304C-4182-9213-0B109A5707E7}"/>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FF63967E-6FE7-45A0-A793-CCC6664AD6D4}"/>
    <cellStyle name="Normal 4 3 3 5 2 3" xfId="11951" xr:uid="{A0389F11-3585-4474-A0FA-5F146BBCFBD5}"/>
    <cellStyle name="Normal 4 3 3 5 3" xfId="5574" xr:uid="{00000000-0005-0000-0000-0000A1140000}"/>
    <cellStyle name="Normal 4 3 3 5 3 2" xfId="14024" xr:uid="{90A170B7-363E-47FC-8892-783694F7ACBF}"/>
    <cellStyle name="Normal 4 3 3 5 4" xfId="9806" xr:uid="{BDC65320-544E-4B06-A418-1EC7D66402FD}"/>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BC9294AF-A01D-43DE-943F-C646216BF13B}"/>
    <cellStyle name="Normal 4 3 3 6 2 3" xfId="12364" xr:uid="{69262C89-88B4-412A-8EA6-D63B6DED4CFC}"/>
    <cellStyle name="Normal 4 3 3 6 3" xfId="5987" xr:uid="{00000000-0005-0000-0000-0000A5140000}"/>
    <cellStyle name="Normal 4 3 3 6 3 2" xfId="14437" xr:uid="{EB6E6840-45E4-4EEE-90F1-7102C16FAC49}"/>
    <cellStyle name="Normal 4 3 3 6 4" xfId="10219" xr:uid="{D7507C1D-54EF-476A-BF1B-05B0C128CFC9}"/>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247BBA6C-1D8D-46D4-ADDD-F0B713C7DF62}"/>
    <cellStyle name="Normal 4 3 3 7 2 3" xfId="12777" xr:uid="{9944CE6C-CF64-4D0D-A3FC-BF6CDD2A75D8}"/>
    <cellStyle name="Normal 4 3 3 7 3" xfId="6400" xr:uid="{00000000-0005-0000-0000-0000A9140000}"/>
    <cellStyle name="Normal 4 3 3 7 3 2" xfId="14850" xr:uid="{68A18607-884D-4058-9D8D-BCF659994D65}"/>
    <cellStyle name="Normal 4 3 3 7 4" xfId="10632" xr:uid="{A4660598-E346-49A8-A1ED-C32AF2C0E5BB}"/>
    <cellStyle name="Normal 4 3 3 8" xfId="2530" xr:uid="{00000000-0005-0000-0000-0000AA140000}"/>
    <cellStyle name="Normal 4 3 3 8 2" xfId="6813" xr:uid="{00000000-0005-0000-0000-0000AB140000}"/>
    <cellStyle name="Normal 4 3 3 8 2 2" xfId="15263" xr:uid="{D304819E-C13D-43F5-B6F6-35D55C0F2780}"/>
    <cellStyle name="Normal 4 3 3 8 3" xfId="11045" xr:uid="{413CA62A-744B-4653-8C03-327D601D3ECA}"/>
    <cellStyle name="Normal 4 3 3 9" xfId="4748" xr:uid="{00000000-0005-0000-0000-0000AC140000}"/>
    <cellStyle name="Normal 4 3 3 9 2" xfId="13198" xr:uid="{2146500B-7561-4255-9000-A03F551E18CE}"/>
    <cellStyle name="Normal 4 3 4" xfId="842" xr:uid="{00000000-0005-0000-0000-0000AD140000}"/>
    <cellStyle name="Normal 4 3 4 2" xfId="3079" xr:uid="{00000000-0005-0000-0000-0000AE140000}"/>
    <cellStyle name="Normal 4 3 4 2 2" xfId="7301" xr:uid="{00000000-0005-0000-0000-0000AF140000}"/>
    <cellStyle name="Normal 4 3 4 2 2 2" xfId="15751" xr:uid="{9A953842-6154-49BF-9FD5-F7FE5F072487}"/>
    <cellStyle name="Normal 4 3 4 2 3" xfId="11533" xr:uid="{E3E79803-F492-45FB-AB81-48CCC59E3BC1}"/>
    <cellStyle name="Normal 4 3 4 3" xfId="5156" xr:uid="{00000000-0005-0000-0000-0000B0140000}"/>
    <cellStyle name="Normal 4 3 4 3 2" xfId="13606" xr:uid="{88DABB62-D984-47C9-9111-D68C7C4CFBF7}"/>
    <cellStyle name="Normal 4 3 4 4" xfId="9388" xr:uid="{AAE368C3-2077-4350-A2F3-156144FBCE23}"/>
    <cellStyle name="Normal 4 3 5" xfId="1262" xr:uid="{00000000-0005-0000-0000-0000B1140000}"/>
    <cellStyle name="Normal 4 3 5 2" xfId="3492" xr:uid="{00000000-0005-0000-0000-0000B2140000}"/>
    <cellStyle name="Normal 4 3 5 2 2" xfId="7714" xr:uid="{00000000-0005-0000-0000-0000B3140000}"/>
    <cellStyle name="Normal 4 3 5 2 2 2" xfId="16164" xr:uid="{5018E700-CF76-4D9D-909A-8543601ACD57}"/>
    <cellStyle name="Normal 4 3 5 2 3" xfId="11946" xr:uid="{8BF7CBB0-0274-4491-BF19-C11B2E9BAED3}"/>
    <cellStyle name="Normal 4 3 5 3" xfId="5569" xr:uid="{00000000-0005-0000-0000-0000B4140000}"/>
    <cellStyle name="Normal 4 3 5 3 2" xfId="14019" xr:uid="{9ABCE3AE-E041-4CF3-AA02-EA9492EADFC6}"/>
    <cellStyle name="Normal 4 3 5 4" xfId="9801" xr:uid="{E86F904E-5C04-4C1D-936C-98673A8B9912}"/>
    <cellStyle name="Normal 4 3 6" xfId="1675" xr:uid="{00000000-0005-0000-0000-0000B5140000}"/>
    <cellStyle name="Normal 4 3 6 2" xfId="3905" xr:uid="{00000000-0005-0000-0000-0000B6140000}"/>
    <cellStyle name="Normal 4 3 6 2 2" xfId="8127" xr:uid="{00000000-0005-0000-0000-0000B7140000}"/>
    <cellStyle name="Normal 4 3 6 2 2 2" xfId="16577" xr:uid="{6D605E32-973F-45E7-B449-D983A8F3A66F}"/>
    <cellStyle name="Normal 4 3 6 2 3" xfId="12359" xr:uid="{1A1C590A-F799-4A8C-8C73-B8FA1831E672}"/>
    <cellStyle name="Normal 4 3 6 3" xfId="5982" xr:uid="{00000000-0005-0000-0000-0000B8140000}"/>
    <cellStyle name="Normal 4 3 6 3 2" xfId="14432" xr:uid="{F2F24851-DD03-4755-A4EC-307A0A03E820}"/>
    <cellStyle name="Normal 4 3 6 4" xfId="10214" xr:uid="{875B0DDD-B5E6-48C8-8C54-28589ECDE1B3}"/>
    <cellStyle name="Normal 4 3 7" xfId="2089" xr:uid="{00000000-0005-0000-0000-0000B9140000}"/>
    <cellStyle name="Normal 4 3 7 2" xfId="4318" xr:uid="{00000000-0005-0000-0000-0000BA140000}"/>
    <cellStyle name="Normal 4 3 7 2 2" xfId="8540" xr:uid="{00000000-0005-0000-0000-0000BB140000}"/>
    <cellStyle name="Normal 4 3 7 2 2 2" xfId="16990" xr:uid="{8E9BB0B9-CFF9-40D1-AFD5-41F944B29F65}"/>
    <cellStyle name="Normal 4 3 7 2 3" xfId="12772" xr:uid="{D1C33042-783D-4350-A929-56B1FEFE6181}"/>
    <cellStyle name="Normal 4 3 7 3" xfId="6395" xr:uid="{00000000-0005-0000-0000-0000BC140000}"/>
    <cellStyle name="Normal 4 3 7 3 2" xfId="14845" xr:uid="{621A29F5-6C86-4961-B8E0-DFA4FA8570D8}"/>
    <cellStyle name="Normal 4 3 7 4" xfId="10627" xr:uid="{35B049B9-EA7C-4B04-A968-AA5A2B9017A3}"/>
    <cellStyle name="Normal 4 3 8" xfId="2525" xr:uid="{00000000-0005-0000-0000-0000BD140000}"/>
    <cellStyle name="Normal 4 3 8 2" xfId="6808" xr:uid="{00000000-0005-0000-0000-0000BE140000}"/>
    <cellStyle name="Normal 4 3 8 2 2" xfId="15258" xr:uid="{F797680B-39C3-47CC-BAD0-3A83AA4C4D39}"/>
    <cellStyle name="Normal 4 3 8 3" xfId="11040" xr:uid="{3FBCE101-789B-43AD-8E08-D4903628BEEB}"/>
    <cellStyle name="Normal 4 3 9" xfId="4743" xr:uid="{00000000-0005-0000-0000-0000BF140000}"/>
    <cellStyle name="Normal 4 3 9 2" xfId="13193" xr:uid="{4ED5E71F-6604-43A0-A80B-D088065BAE2C}"/>
    <cellStyle name="Normal 4 4" xfId="378" xr:uid="{00000000-0005-0000-0000-0000C0140000}"/>
    <cellStyle name="Normal 4 4 10" xfId="2534" xr:uid="{00000000-0005-0000-0000-0000C1140000}"/>
    <cellStyle name="Normal 4 4 10 2" xfId="6817" xr:uid="{00000000-0005-0000-0000-0000C2140000}"/>
    <cellStyle name="Normal 4 4 10 2 2" xfId="15267" xr:uid="{08E4DB87-2910-411E-AB1C-8C4CCD4A5F96}"/>
    <cellStyle name="Normal 4 4 10 3" xfId="11049" xr:uid="{9C62A5CA-E21F-45ED-8ACA-1AB7B6DD3F21}"/>
    <cellStyle name="Normal 4 4 11" xfId="4752" xr:uid="{00000000-0005-0000-0000-0000C3140000}"/>
    <cellStyle name="Normal 4 4 11 2" xfId="13202" xr:uid="{C28671E7-F3DF-411E-8E05-64A92AB89369}"/>
    <cellStyle name="Normal 4 4 12" xfId="8984" xr:uid="{C161D436-C5B6-45CA-B64D-77D9009A42A4}"/>
    <cellStyle name="Normal 4 4 2" xfId="379" xr:uid="{00000000-0005-0000-0000-0000C4140000}"/>
    <cellStyle name="Normal 4 4 2 10" xfId="4753" xr:uid="{00000000-0005-0000-0000-0000C5140000}"/>
    <cellStyle name="Normal 4 4 2 10 2" xfId="13203" xr:uid="{A83D04B1-3955-46BA-AADF-5DFCDE1FCFF5}"/>
    <cellStyle name="Normal 4 4 2 11" xfId="8985" xr:uid="{9CBA8563-BD54-401C-A3AB-0D7D0E6F959B}"/>
    <cellStyle name="Normal 4 4 2 2" xfId="380" xr:uid="{00000000-0005-0000-0000-0000C6140000}"/>
    <cellStyle name="Normal 4 4 2 2 10" xfId="8986" xr:uid="{952165E4-A13E-4F13-B644-E802AD3CC65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64877219-2077-42FF-A8B2-8B06EB7604E6}"/>
    <cellStyle name="Normal 4 4 2 2 2 2 2 2 3" xfId="11546" xr:uid="{0CF40B6E-1EBA-46CA-B069-0205FF8114FC}"/>
    <cellStyle name="Normal 4 4 2 2 2 2 2 3" xfId="5169" xr:uid="{00000000-0005-0000-0000-0000CC140000}"/>
    <cellStyle name="Normal 4 4 2 2 2 2 2 3 2" xfId="13619" xr:uid="{363EF32B-71F2-4CC2-AEFC-4B3D2299997A}"/>
    <cellStyle name="Normal 4 4 2 2 2 2 2 4" xfId="9401" xr:uid="{DD06A3EE-5D32-4ED0-98ED-80C24A31440D}"/>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9B73DA92-8FE6-4AD1-8179-C68B8F5B609C}"/>
    <cellStyle name="Normal 4 4 2 2 2 2 3 2 3" xfId="11959" xr:uid="{42C02483-E3D9-43CF-90DF-52E4CE6C6498}"/>
    <cellStyle name="Normal 4 4 2 2 2 2 3 3" xfId="5582" xr:uid="{00000000-0005-0000-0000-0000D0140000}"/>
    <cellStyle name="Normal 4 4 2 2 2 2 3 3 2" xfId="14032" xr:uid="{2378DDD9-122E-4361-A2B8-C4653BE58163}"/>
    <cellStyle name="Normal 4 4 2 2 2 2 3 4" xfId="9814" xr:uid="{310B9236-C077-4639-9571-D0C53575EEDC}"/>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EF1FF403-4670-42B2-B77D-E19522B19020}"/>
    <cellStyle name="Normal 4 4 2 2 2 2 4 2 3" xfId="12372" xr:uid="{43FABF15-46EA-4FF0-8629-1E92A6E4C6CC}"/>
    <cellStyle name="Normal 4 4 2 2 2 2 4 3" xfId="5995" xr:uid="{00000000-0005-0000-0000-0000D4140000}"/>
    <cellStyle name="Normal 4 4 2 2 2 2 4 3 2" xfId="14445" xr:uid="{EC80EE34-E7D6-46AD-AD65-2C6E6B230195}"/>
    <cellStyle name="Normal 4 4 2 2 2 2 4 4" xfId="10227" xr:uid="{A3B6A569-DD2B-4082-8508-25F142540AFE}"/>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81F7B417-FE93-41D5-A6CE-C43FFE624155}"/>
    <cellStyle name="Normal 4 4 2 2 2 2 5 2 3" xfId="12785" xr:uid="{616F1828-3801-404D-94A3-2072B521DED6}"/>
    <cellStyle name="Normal 4 4 2 2 2 2 5 3" xfId="6408" xr:uid="{00000000-0005-0000-0000-0000D8140000}"/>
    <cellStyle name="Normal 4 4 2 2 2 2 5 3 2" xfId="14858" xr:uid="{14D686A3-6BE6-4994-B89B-D3760B9391ED}"/>
    <cellStyle name="Normal 4 4 2 2 2 2 5 4" xfId="10640" xr:uid="{BD646B93-F3C2-4424-91D8-EE6350C0B60C}"/>
    <cellStyle name="Normal 4 4 2 2 2 2 6" xfId="2538" xr:uid="{00000000-0005-0000-0000-0000D9140000}"/>
    <cellStyle name="Normal 4 4 2 2 2 2 6 2" xfId="6821" xr:uid="{00000000-0005-0000-0000-0000DA140000}"/>
    <cellStyle name="Normal 4 4 2 2 2 2 6 2 2" xfId="15271" xr:uid="{C4371EBF-0B94-49EF-A057-D3CCC21079A3}"/>
    <cellStyle name="Normal 4 4 2 2 2 2 6 3" xfId="11053" xr:uid="{3EDF0761-7533-41A3-80FA-1457957F8A38}"/>
    <cellStyle name="Normal 4 4 2 2 2 2 7" xfId="4756" xr:uid="{00000000-0005-0000-0000-0000DB140000}"/>
    <cellStyle name="Normal 4 4 2 2 2 2 7 2" xfId="13206" xr:uid="{B8F78941-C90A-4682-BE12-6D9B74FBDDAD}"/>
    <cellStyle name="Normal 4 4 2 2 2 2 8" xfId="8988" xr:uid="{9B0AE2FD-CC81-40FA-8332-A0A4267AB978}"/>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49141E70-E1A9-4E3A-9F56-F64D530F1997}"/>
    <cellStyle name="Normal 4 4 2 2 2 3 2 3" xfId="11545" xr:uid="{5A7F7638-2E41-4DF5-8B91-4B8DE9BE99C5}"/>
    <cellStyle name="Normal 4 4 2 2 2 3 3" xfId="5168" xr:uid="{00000000-0005-0000-0000-0000DF140000}"/>
    <cellStyle name="Normal 4 4 2 2 2 3 3 2" xfId="13618" xr:uid="{0338CFBD-7F97-485F-909D-AA3C639082F8}"/>
    <cellStyle name="Normal 4 4 2 2 2 3 4" xfId="9400" xr:uid="{E9BE668D-96A4-4DF5-99FD-4E80155DD397}"/>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DF3D884F-2CED-46D5-B2E3-5F025F73DA53}"/>
    <cellStyle name="Normal 4 4 2 2 2 4 2 3" xfId="11958" xr:uid="{28B3E869-FE16-452E-B8DB-C2E5113991F3}"/>
    <cellStyle name="Normal 4 4 2 2 2 4 3" xfId="5581" xr:uid="{00000000-0005-0000-0000-0000E3140000}"/>
    <cellStyle name="Normal 4 4 2 2 2 4 3 2" xfId="14031" xr:uid="{0BF3F15C-15B5-45E2-B056-A711EAF17FC7}"/>
    <cellStyle name="Normal 4 4 2 2 2 4 4" xfId="9813" xr:uid="{985234E6-F521-4A67-B79E-BC47CC151CF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0F145953-B13E-4C40-8042-EF2998C991D5}"/>
    <cellStyle name="Normal 4 4 2 2 2 5 2 3" xfId="12371" xr:uid="{637DFD44-6BAC-4DD7-8B5A-70B1C127467A}"/>
    <cellStyle name="Normal 4 4 2 2 2 5 3" xfId="5994" xr:uid="{00000000-0005-0000-0000-0000E7140000}"/>
    <cellStyle name="Normal 4 4 2 2 2 5 3 2" xfId="14444" xr:uid="{B457B4CD-7437-48D0-AE1E-913DD3409F28}"/>
    <cellStyle name="Normal 4 4 2 2 2 5 4" xfId="10226" xr:uid="{3DAA7852-AB16-4E2C-A5C1-21172492F86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23EE4C4A-03C8-4F83-B3E9-EEFC85FAC85B}"/>
    <cellStyle name="Normal 4 4 2 2 2 6 2 3" xfId="12784" xr:uid="{47C520AA-11EE-494F-B74D-28FBB6F1AC64}"/>
    <cellStyle name="Normal 4 4 2 2 2 6 3" xfId="6407" xr:uid="{00000000-0005-0000-0000-0000EB140000}"/>
    <cellStyle name="Normal 4 4 2 2 2 6 3 2" xfId="14857" xr:uid="{BA39D05E-A91A-49A3-A4B7-5B72595DEA44}"/>
    <cellStyle name="Normal 4 4 2 2 2 6 4" xfId="10639" xr:uid="{3B2786E0-26C3-4820-817A-C6358905433B}"/>
    <cellStyle name="Normal 4 4 2 2 2 7" xfId="2537" xr:uid="{00000000-0005-0000-0000-0000EC140000}"/>
    <cellStyle name="Normal 4 4 2 2 2 7 2" xfId="6820" xr:uid="{00000000-0005-0000-0000-0000ED140000}"/>
    <cellStyle name="Normal 4 4 2 2 2 7 2 2" xfId="15270" xr:uid="{DD86D7BD-7C4C-4975-9B73-CDDC1FFA8A68}"/>
    <cellStyle name="Normal 4 4 2 2 2 7 3" xfId="11052" xr:uid="{EAF19A63-2A42-4CA0-BA8F-C1DCB1801438}"/>
    <cellStyle name="Normal 4 4 2 2 2 8" xfId="4755" xr:uid="{00000000-0005-0000-0000-0000EE140000}"/>
    <cellStyle name="Normal 4 4 2 2 2 8 2" xfId="13205" xr:uid="{7D021203-5607-4159-8928-C777FCBD2F94}"/>
    <cellStyle name="Normal 4 4 2 2 2 9" xfId="8987" xr:uid="{6C1DC56F-A49A-40AA-984A-E0723714B7F2}"/>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8B07A4E3-169C-40AE-BC1E-4773A66E528E}"/>
    <cellStyle name="Normal 4 4 2 2 3 2 2 3" xfId="11547" xr:uid="{08132C92-1467-40F5-9D83-E84AEEAF4215}"/>
    <cellStyle name="Normal 4 4 2 2 3 2 3" xfId="5170" xr:uid="{00000000-0005-0000-0000-0000F3140000}"/>
    <cellStyle name="Normal 4 4 2 2 3 2 3 2" xfId="13620" xr:uid="{28534046-3E06-4246-8910-E2F6FA674D4C}"/>
    <cellStyle name="Normal 4 4 2 2 3 2 4" xfId="9402" xr:uid="{BF5E8891-5DA9-4009-85CA-131ECD6735AF}"/>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07AA59B3-DF8F-48CF-A3D8-BC2F93C2F555}"/>
    <cellStyle name="Normal 4 4 2 2 3 3 2 3" xfId="11960" xr:uid="{E9C3B1BF-6F29-4559-B3C4-D291F52C642D}"/>
    <cellStyle name="Normal 4 4 2 2 3 3 3" xfId="5583" xr:uid="{00000000-0005-0000-0000-0000F7140000}"/>
    <cellStyle name="Normal 4 4 2 2 3 3 3 2" xfId="14033" xr:uid="{EC92232B-12AD-4D8C-A3D3-3962ED151625}"/>
    <cellStyle name="Normal 4 4 2 2 3 3 4" xfId="9815" xr:uid="{F4501B32-990E-4057-92EA-7583971830D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E2E1533C-4083-4C12-84D8-9314810A9E80}"/>
    <cellStyle name="Normal 4 4 2 2 3 4 2 3" xfId="12373" xr:uid="{1E46130D-65D7-4A14-8909-4BFC5A0D27F0}"/>
    <cellStyle name="Normal 4 4 2 2 3 4 3" xfId="5996" xr:uid="{00000000-0005-0000-0000-0000FB140000}"/>
    <cellStyle name="Normal 4 4 2 2 3 4 3 2" xfId="14446" xr:uid="{696982AC-F446-4AFE-AB7B-AB6E39FF442C}"/>
    <cellStyle name="Normal 4 4 2 2 3 4 4" xfId="10228" xr:uid="{83119BA0-D1FB-4E04-965F-396E7D3549F3}"/>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E310E77B-634B-4865-94EF-B964887C8C5C}"/>
    <cellStyle name="Normal 4 4 2 2 3 5 2 3" xfId="12786" xr:uid="{37886598-A2D6-4B06-BD01-FA9ED372618C}"/>
    <cellStyle name="Normal 4 4 2 2 3 5 3" xfId="6409" xr:uid="{00000000-0005-0000-0000-0000FF140000}"/>
    <cellStyle name="Normal 4 4 2 2 3 5 3 2" xfId="14859" xr:uid="{2652B5A5-CDBB-459C-8509-87DA097AEA85}"/>
    <cellStyle name="Normal 4 4 2 2 3 5 4" xfId="10641" xr:uid="{28AB1651-10CF-4CC5-BB9E-20FC00E813EC}"/>
    <cellStyle name="Normal 4 4 2 2 3 6" xfId="2539" xr:uid="{00000000-0005-0000-0000-000000150000}"/>
    <cellStyle name="Normal 4 4 2 2 3 6 2" xfId="6822" xr:uid="{00000000-0005-0000-0000-000001150000}"/>
    <cellStyle name="Normal 4 4 2 2 3 6 2 2" xfId="15272" xr:uid="{458C047E-0BB5-4DD5-8FF1-6C6E0B549124}"/>
    <cellStyle name="Normal 4 4 2 2 3 6 3" xfId="11054" xr:uid="{839EEF66-4F26-49C8-AAE6-91AD23BD2956}"/>
    <cellStyle name="Normal 4 4 2 2 3 7" xfId="4757" xr:uid="{00000000-0005-0000-0000-000002150000}"/>
    <cellStyle name="Normal 4 4 2 2 3 7 2" xfId="13207" xr:uid="{116CC71D-32C0-4FEE-955B-DBC95EDCFCDA}"/>
    <cellStyle name="Normal 4 4 2 2 3 8" xfId="8989" xr:uid="{0841ADE5-24EA-4785-8DC2-97CCEA2B0872}"/>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01976F37-3C23-4D2B-943C-A6BF8CD0F78D}"/>
    <cellStyle name="Normal 4 4 2 2 4 2 3" xfId="11544" xr:uid="{FA921BCF-2E89-4579-BD98-6C24F6D5819E}"/>
    <cellStyle name="Normal 4 4 2 2 4 3" xfId="5167" xr:uid="{00000000-0005-0000-0000-000006150000}"/>
    <cellStyle name="Normal 4 4 2 2 4 3 2" xfId="13617" xr:uid="{3FE376D6-D714-4060-9BEF-62C13D641542}"/>
    <cellStyle name="Normal 4 4 2 2 4 4" xfId="9399" xr:uid="{10095BFC-8A1C-4CCD-B81E-8EA3D673DD1F}"/>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211F8BA2-26D2-4F66-8D13-8E0CDD8FAF97}"/>
    <cellStyle name="Normal 4 4 2 2 5 2 3" xfId="11957" xr:uid="{1DCDA3DC-9086-4BAC-8D04-EBE43BC536A7}"/>
    <cellStyle name="Normal 4 4 2 2 5 3" xfId="5580" xr:uid="{00000000-0005-0000-0000-00000A150000}"/>
    <cellStyle name="Normal 4 4 2 2 5 3 2" xfId="14030" xr:uid="{A7288873-2714-40BB-9576-33D96612B2E8}"/>
    <cellStyle name="Normal 4 4 2 2 5 4" xfId="9812" xr:uid="{3E626438-D1D3-417B-9CB9-992427D2EFAF}"/>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D6F28635-6178-4933-962B-A18AC2A08A42}"/>
    <cellStyle name="Normal 4 4 2 2 6 2 3" xfId="12370" xr:uid="{165C7666-4F3E-49D9-908A-FBDD833763FF}"/>
    <cellStyle name="Normal 4 4 2 2 6 3" xfId="5993" xr:uid="{00000000-0005-0000-0000-00000E150000}"/>
    <cellStyle name="Normal 4 4 2 2 6 3 2" xfId="14443" xr:uid="{E09F6AC0-CEB5-42B0-AD98-CF75ABDFB91D}"/>
    <cellStyle name="Normal 4 4 2 2 6 4" xfId="10225" xr:uid="{4129BA78-C938-429A-AB71-4FCFF562706D}"/>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91237869-FDD8-45DB-8BC6-B594B77FCCC0}"/>
    <cellStyle name="Normal 4 4 2 2 7 2 3" xfId="12783" xr:uid="{952588DD-59FB-4EF9-B5F0-376A46E65400}"/>
    <cellStyle name="Normal 4 4 2 2 7 3" xfId="6406" xr:uid="{00000000-0005-0000-0000-000012150000}"/>
    <cellStyle name="Normal 4 4 2 2 7 3 2" xfId="14856" xr:uid="{BC899F12-C000-4D49-9BAE-A898937BFBCB}"/>
    <cellStyle name="Normal 4 4 2 2 7 4" xfId="10638" xr:uid="{531BB090-359B-4971-8A10-9518AF01DEFA}"/>
    <cellStyle name="Normal 4 4 2 2 8" xfId="2536" xr:uid="{00000000-0005-0000-0000-000013150000}"/>
    <cellStyle name="Normal 4 4 2 2 8 2" xfId="6819" xr:uid="{00000000-0005-0000-0000-000014150000}"/>
    <cellStyle name="Normal 4 4 2 2 8 2 2" xfId="15269" xr:uid="{9CEB2BAF-63BA-43A5-93B6-C7568840DBFB}"/>
    <cellStyle name="Normal 4 4 2 2 8 3" xfId="11051" xr:uid="{DECA077E-CD5C-4BF9-9ADE-6DB7B0891F85}"/>
    <cellStyle name="Normal 4 4 2 2 9" xfId="4754" xr:uid="{00000000-0005-0000-0000-000015150000}"/>
    <cellStyle name="Normal 4 4 2 2 9 2" xfId="13204" xr:uid="{4F9308B5-956C-41CB-AF8D-C0F4F8FF9E95}"/>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34879194-B38B-41CF-929D-56421A9B7755}"/>
    <cellStyle name="Normal 4 4 2 3 2 2 2 3" xfId="11549" xr:uid="{52A4BFCB-D5FD-43A2-81A7-CB53E13964B9}"/>
    <cellStyle name="Normal 4 4 2 3 2 2 3" xfId="5172" xr:uid="{00000000-0005-0000-0000-00001B150000}"/>
    <cellStyle name="Normal 4 4 2 3 2 2 3 2" xfId="13622" xr:uid="{65A4B2C1-9E4A-4193-97B2-E2B7F673FFE0}"/>
    <cellStyle name="Normal 4 4 2 3 2 2 4" xfId="9404" xr:uid="{47B5E9A1-CE33-4A89-A94E-95775A1CFE77}"/>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EAA329E6-E50C-4076-98EB-E85D990F0DD6}"/>
    <cellStyle name="Normal 4 4 2 3 2 3 2 3" xfId="11962" xr:uid="{6B24A443-A213-4FAE-A25A-9C0F7DFCD305}"/>
    <cellStyle name="Normal 4 4 2 3 2 3 3" xfId="5585" xr:uid="{00000000-0005-0000-0000-00001F150000}"/>
    <cellStyle name="Normal 4 4 2 3 2 3 3 2" xfId="14035" xr:uid="{0E5C4959-4ED0-44B2-B154-219B3F5D25CC}"/>
    <cellStyle name="Normal 4 4 2 3 2 3 4" xfId="9817" xr:uid="{E44E51B9-2B51-41CB-B815-4B9F1A76BF82}"/>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7130F363-C82B-49D6-A871-E42D36AA2AD6}"/>
    <cellStyle name="Normal 4 4 2 3 2 4 2 3" xfId="12375" xr:uid="{E2EA981D-BAB0-4C30-A6BF-125A9FFA11F7}"/>
    <cellStyle name="Normal 4 4 2 3 2 4 3" xfId="5998" xr:uid="{00000000-0005-0000-0000-000023150000}"/>
    <cellStyle name="Normal 4 4 2 3 2 4 3 2" xfId="14448" xr:uid="{0D0BC2EA-AF3B-4946-AE51-1807B5BBA9C2}"/>
    <cellStyle name="Normal 4 4 2 3 2 4 4" xfId="10230" xr:uid="{3F304DE2-C9B0-4CD3-ABB2-C968173815D3}"/>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14070713-E0CD-4EBB-87DA-09BB587D25B7}"/>
    <cellStyle name="Normal 4 4 2 3 2 5 2 3" xfId="12788" xr:uid="{B3148350-A52E-4C2F-9305-709B62CAF12D}"/>
    <cellStyle name="Normal 4 4 2 3 2 5 3" xfId="6411" xr:uid="{00000000-0005-0000-0000-000027150000}"/>
    <cellStyle name="Normal 4 4 2 3 2 5 3 2" xfId="14861" xr:uid="{DB9606D9-4685-409A-BFA7-93ED0F8DEB17}"/>
    <cellStyle name="Normal 4 4 2 3 2 5 4" xfId="10643" xr:uid="{3AEAC2AB-A2E0-48A9-9AD6-134FC4AE649F}"/>
    <cellStyle name="Normal 4 4 2 3 2 6" xfId="2541" xr:uid="{00000000-0005-0000-0000-000028150000}"/>
    <cellStyle name="Normal 4 4 2 3 2 6 2" xfId="6824" xr:uid="{00000000-0005-0000-0000-000029150000}"/>
    <cellStyle name="Normal 4 4 2 3 2 6 2 2" xfId="15274" xr:uid="{9B7221D4-291B-4F84-908A-5A273AF9CD3E}"/>
    <cellStyle name="Normal 4 4 2 3 2 6 3" xfId="11056" xr:uid="{0779290D-C61B-4470-9C98-5983069E3731}"/>
    <cellStyle name="Normal 4 4 2 3 2 7" xfId="4759" xr:uid="{00000000-0005-0000-0000-00002A150000}"/>
    <cellStyle name="Normal 4 4 2 3 2 7 2" xfId="13209" xr:uid="{09792E89-4334-45F6-94BE-B7CEE7E1C50F}"/>
    <cellStyle name="Normal 4 4 2 3 2 8" xfId="8991" xr:uid="{2E1F9455-0982-4AF9-BB84-99DEB7FCE2BA}"/>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57128697-10D7-4398-A689-5A027DD95529}"/>
    <cellStyle name="Normal 4 4 2 3 3 2 3" xfId="11548" xr:uid="{AA7C76B4-2AD4-4906-857E-62CA52EF4CD5}"/>
    <cellStyle name="Normal 4 4 2 3 3 3" xfId="5171" xr:uid="{00000000-0005-0000-0000-00002E150000}"/>
    <cellStyle name="Normal 4 4 2 3 3 3 2" xfId="13621" xr:uid="{4A0BF483-61CD-4569-9081-B6850B6C6CEE}"/>
    <cellStyle name="Normal 4 4 2 3 3 4" xfId="9403" xr:uid="{25351352-E4A0-4B96-9BFD-448B072CCA0B}"/>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DA43796E-96D7-45B3-B1D2-63AEF8C16039}"/>
    <cellStyle name="Normal 4 4 2 3 4 2 3" xfId="11961" xr:uid="{B7CC1406-C0F1-405E-93C6-2DF4E3258133}"/>
    <cellStyle name="Normal 4 4 2 3 4 3" xfId="5584" xr:uid="{00000000-0005-0000-0000-000032150000}"/>
    <cellStyle name="Normal 4 4 2 3 4 3 2" xfId="14034" xr:uid="{01B4FFD8-6053-4425-AF4C-F7109F6FDDC8}"/>
    <cellStyle name="Normal 4 4 2 3 4 4" xfId="9816" xr:uid="{AF031DFE-1CEE-48E0-890D-00B2695C3CBF}"/>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9A57CC6A-988C-4007-B298-DA22300EE73E}"/>
    <cellStyle name="Normal 4 4 2 3 5 2 3" xfId="12374" xr:uid="{1C6A8302-B0C7-4F7A-AAF9-6E16CF41AE83}"/>
    <cellStyle name="Normal 4 4 2 3 5 3" xfId="5997" xr:uid="{00000000-0005-0000-0000-000036150000}"/>
    <cellStyle name="Normal 4 4 2 3 5 3 2" xfId="14447" xr:uid="{96F7D592-5608-4DF4-BF25-030D35567322}"/>
    <cellStyle name="Normal 4 4 2 3 5 4" xfId="10229" xr:uid="{B33AEFAB-C289-49D9-9891-4FAA8C3B67E1}"/>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E2BF6F1B-959F-4F6C-AB55-B963ED54094D}"/>
    <cellStyle name="Normal 4 4 2 3 6 2 3" xfId="12787" xr:uid="{3750F236-B10F-4408-8DA9-F9B894CE71CF}"/>
    <cellStyle name="Normal 4 4 2 3 6 3" xfId="6410" xr:uid="{00000000-0005-0000-0000-00003A150000}"/>
    <cellStyle name="Normal 4 4 2 3 6 3 2" xfId="14860" xr:uid="{B5BED249-526F-42F2-A076-E68442C5CCCB}"/>
    <cellStyle name="Normal 4 4 2 3 6 4" xfId="10642" xr:uid="{4044F668-3AFA-49DA-B163-212C3E55FFE0}"/>
    <cellStyle name="Normal 4 4 2 3 7" xfId="2540" xr:uid="{00000000-0005-0000-0000-00003B150000}"/>
    <cellStyle name="Normal 4 4 2 3 7 2" xfId="6823" xr:uid="{00000000-0005-0000-0000-00003C150000}"/>
    <cellStyle name="Normal 4 4 2 3 7 2 2" xfId="15273" xr:uid="{9AF77004-5589-4D26-81BE-C5C443B6CCD0}"/>
    <cellStyle name="Normal 4 4 2 3 7 3" xfId="11055" xr:uid="{4A11C51C-5A31-4EAB-8B8B-20E8FA422AB7}"/>
    <cellStyle name="Normal 4 4 2 3 8" xfId="4758" xr:uid="{00000000-0005-0000-0000-00003D150000}"/>
    <cellStyle name="Normal 4 4 2 3 8 2" xfId="13208" xr:uid="{B972CF87-E127-49F1-9A0E-43837B7E7D9A}"/>
    <cellStyle name="Normal 4 4 2 3 9" xfId="8990" xr:uid="{559535C4-DC25-46A0-8B7C-1433D13FD3B3}"/>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DD9335ED-DCC3-40FB-A546-CEC24B7E9CEE}"/>
    <cellStyle name="Normal 4 4 2 4 2 2 3" xfId="11550" xr:uid="{D5453602-21D8-4FCD-AFBB-87CBA7220A57}"/>
    <cellStyle name="Normal 4 4 2 4 2 3" xfId="5173" xr:uid="{00000000-0005-0000-0000-000042150000}"/>
    <cellStyle name="Normal 4 4 2 4 2 3 2" xfId="13623" xr:uid="{5B280BA8-5421-4ADE-A055-9FEDC2C76AA9}"/>
    <cellStyle name="Normal 4 4 2 4 2 4" xfId="9405" xr:uid="{D10805EF-A9A3-449E-84C6-CE9FC1D29971}"/>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5C663718-F7B8-4673-A760-8E13E0B875F7}"/>
    <cellStyle name="Normal 4 4 2 4 3 2 3" xfId="11963" xr:uid="{FA13478B-9B0D-4F2D-9085-DC7D21AE1BCF}"/>
    <cellStyle name="Normal 4 4 2 4 3 3" xfId="5586" xr:uid="{00000000-0005-0000-0000-000046150000}"/>
    <cellStyle name="Normal 4 4 2 4 3 3 2" xfId="14036" xr:uid="{9887B32A-71EA-4493-8AF9-8CE068A9809F}"/>
    <cellStyle name="Normal 4 4 2 4 3 4" xfId="9818" xr:uid="{DE3B7086-3FC0-4FE6-94BC-A8D5E9F4D45A}"/>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72057153-B3F3-4F4D-A099-8983E3C50007}"/>
    <cellStyle name="Normal 4 4 2 4 4 2 3" xfId="12376" xr:uid="{C5544BC4-BDAF-42E1-911A-B7206BADC63B}"/>
    <cellStyle name="Normal 4 4 2 4 4 3" xfId="5999" xr:uid="{00000000-0005-0000-0000-00004A150000}"/>
    <cellStyle name="Normal 4 4 2 4 4 3 2" xfId="14449" xr:uid="{F9255E1F-9BDB-4138-874F-8BA28BEC106C}"/>
    <cellStyle name="Normal 4 4 2 4 4 4" xfId="10231" xr:uid="{776A7D6C-0ADC-4CD4-B841-C60B083AE109}"/>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DE1A2CDD-4341-429F-99C5-2D5978A329B1}"/>
    <cellStyle name="Normal 4 4 2 4 5 2 3" xfId="12789" xr:uid="{5FC30207-7AD1-4120-94A0-FEBE19FD0E39}"/>
    <cellStyle name="Normal 4 4 2 4 5 3" xfId="6412" xr:uid="{00000000-0005-0000-0000-00004E150000}"/>
    <cellStyle name="Normal 4 4 2 4 5 3 2" xfId="14862" xr:uid="{F74CC435-2E4F-4119-8A98-2742D66515AD}"/>
    <cellStyle name="Normal 4 4 2 4 5 4" xfId="10644" xr:uid="{5250D737-3BFF-4C02-91CA-4D905B08A277}"/>
    <cellStyle name="Normal 4 4 2 4 6" xfId="2542" xr:uid="{00000000-0005-0000-0000-00004F150000}"/>
    <cellStyle name="Normal 4 4 2 4 6 2" xfId="6825" xr:uid="{00000000-0005-0000-0000-000050150000}"/>
    <cellStyle name="Normal 4 4 2 4 6 2 2" xfId="15275" xr:uid="{9145EA29-298C-44C8-9B28-B4925FDC9F28}"/>
    <cellStyle name="Normal 4 4 2 4 6 3" xfId="11057" xr:uid="{B83FCC7C-D56B-4021-8466-212E2F4910E7}"/>
    <cellStyle name="Normal 4 4 2 4 7" xfId="4760" xr:uid="{00000000-0005-0000-0000-000051150000}"/>
    <cellStyle name="Normal 4 4 2 4 7 2" xfId="13210" xr:uid="{3B3887D9-8F5C-4E3B-BA20-C5E5A9616A40}"/>
    <cellStyle name="Normal 4 4 2 4 8" xfId="8992" xr:uid="{F0274BA0-D669-4F17-A593-2D3A2813B0CE}"/>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E74DDB3E-BC6E-4FD0-9940-479475D7656A}"/>
    <cellStyle name="Normal 4 4 2 5 2 3" xfId="11543" xr:uid="{AB617785-442D-4349-AC80-1833699C8ACE}"/>
    <cellStyle name="Normal 4 4 2 5 3" xfId="5166" xr:uid="{00000000-0005-0000-0000-000055150000}"/>
    <cellStyle name="Normal 4 4 2 5 3 2" xfId="13616" xr:uid="{06753160-C5D1-4D27-B748-08F70F7FA280}"/>
    <cellStyle name="Normal 4 4 2 5 4" xfId="9398" xr:uid="{22F8357D-E693-4AC1-B8B8-A1AF7A977844}"/>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F46379E8-DA05-4565-8D35-AC95FBCF77BD}"/>
    <cellStyle name="Normal 4 4 2 6 2 3" xfId="11956" xr:uid="{6E4555B9-C3D2-4F39-A7FA-B9D243936EE0}"/>
    <cellStyle name="Normal 4 4 2 6 3" xfId="5579" xr:uid="{00000000-0005-0000-0000-000059150000}"/>
    <cellStyle name="Normal 4 4 2 6 3 2" xfId="14029" xr:uid="{3D5EC7BD-529E-43CB-A805-2AE25D2BB7D1}"/>
    <cellStyle name="Normal 4 4 2 6 4" xfId="9811" xr:uid="{FB3B3ADC-EAC2-4026-BF80-8F640253D646}"/>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DD8BBB4A-5CD5-45F5-8E38-187AF1C38E01}"/>
    <cellStyle name="Normal 4 4 2 7 2 3" xfId="12369" xr:uid="{24B579F8-BB5B-452C-A601-CB0AC05FF79C}"/>
    <cellStyle name="Normal 4 4 2 7 3" xfId="5992" xr:uid="{00000000-0005-0000-0000-00005D150000}"/>
    <cellStyle name="Normal 4 4 2 7 3 2" xfId="14442" xr:uid="{1F357B39-F08E-40C6-A667-F259E3CE4578}"/>
    <cellStyle name="Normal 4 4 2 7 4" xfId="10224" xr:uid="{B812B351-DC4E-4F8E-B76B-74EEFD91B1E4}"/>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236C435C-263F-4797-BDE3-197F411C4029}"/>
    <cellStyle name="Normal 4 4 2 8 2 3" xfId="12782" xr:uid="{6F7C4990-CEA8-4314-AD51-004B8EA704A2}"/>
    <cellStyle name="Normal 4 4 2 8 3" xfId="6405" xr:uid="{00000000-0005-0000-0000-000061150000}"/>
    <cellStyle name="Normal 4 4 2 8 3 2" xfId="14855" xr:uid="{4A5A5D9D-0041-483A-BB62-4E42C678E7E1}"/>
    <cellStyle name="Normal 4 4 2 8 4" xfId="10637" xr:uid="{14A7F09A-767F-484A-92BC-F99A510B03D8}"/>
    <cellStyle name="Normal 4 4 2 9" xfId="2535" xr:uid="{00000000-0005-0000-0000-000062150000}"/>
    <cellStyle name="Normal 4 4 2 9 2" xfId="6818" xr:uid="{00000000-0005-0000-0000-000063150000}"/>
    <cellStyle name="Normal 4 4 2 9 2 2" xfId="15268" xr:uid="{FE7C2577-01B3-4D08-AB89-4C617A338499}"/>
    <cellStyle name="Normal 4 4 2 9 3" xfId="11050" xr:uid="{992C8878-9DAC-4B81-9A8C-941307EACA57}"/>
    <cellStyle name="Normal 4 4 3" xfId="387" xr:uid="{00000000-0005-0000-0000-000064150000}"/>
    <cellStyle name="Normal 4 4 3 10" xfId="8993" xr:uid="{B3543B4C-D6A0-44A5-B5BC-A7B96AAE175F}"/>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E372AF63-4705-4B02-BC12-1D94724FC162}"/>
    <cellStyle name="Normal 4 4 3 2 2 2 2 3" xfId="11553" xr:uid="{0E28DEA2-09DB-40A1-9143-81E195AD7ECE}"/>
    <cellStyle name="Normal 4 4 3 2 2 2 3" xfId="5176" xr:uid="{00000000-0005-0000-0000-00006A150000}"/>
    <cellStyle name="Normal 4 4 3 2 2 2 3 2" xfId="13626" xr:uid="{0EFE137D-E0A9-4939-B725-8B729C3A3D5B}"/>
    <cellStyle name="Normal 4 4 3 2 2 2 4" xfId="9408" xr:uid="{49FF97A0-9656-48C4-AC53-FC53F2732A02}"/>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E801B2A1-67D9-4988-96B3-D6ED85B13DAA}"/>
    <cellStyle name="Normal 4 4 3 2 2 3 2 3" xfId="11966" xr:uid="{2C5A7973-0D9A-4627-BACB-3AFF7C066120}"/>
    <cellStyle name="Normal 4 4 3 2 2 3 3" xfId="5589" xr:uid="{00000000-0005-0000-0000-00006E150000}"/>
    <cellStyle name="Normal 4 4 3 2 2 3 3 2" xfId="14039" xr:uid="{6E943D8D-2D99-4030-B21A-D013AC6C4F10}"/>
    <cellStyle name="Normal 4 4 3 2 2 3 4" xfId="9821" xr:uid="{7343A29F-C133-4B51-95A3-3631CA9C529F}"/>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965D2B08-5E2D-427C-99F9-3D9658628A59}"/>
    <cellStyle name="Normal 4 4 3 2 2 4 2 3" xfId="12379" xr:uid="{53A98267-1A34-489E-BBE4-FD2ED44E2CA5}"/>
    <cellStyle name="Normal 4 4 3 2 2 4 3" xfId="6002" xr:uid="{00000000-0005-0000-0000-000072150000}"/>
    <cellStyle name="Normal 4 4 3 2 2 4 3 2" xfId="14452" xr:uid="{2B4BFD59-CBF0-4B15-A8BE-1492410FD1CE}"/>
    <cellStyle name="Normal 4 4 3 2 2 4 4" xfId="10234" xr:uid="{31BA1CD6-AD18-4C81-A56B-31E4467E8285}"/>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8337BA4A-0EE8-48FC-8E2C-B9C7508950B7}"/>
    <cellStyle name="Normal 4 4 3 2 2 5 2 3" xfId="12792" xr:uid="{3195C08B-77CA-4C44-88B1-00E1D03E8564}"/>
    <cellStyle name="Normal 4 4 3 2 2 5 3" xfId="6415" xr:uid="{00000000-0005-0000-0000-000076150000}"/>
    <cellStyle name="Normal 4 4 3 2 2 5 3 2" xfId="14865" xr:uid="{6398F0D3-DEEC-4AB4-9E01-E8AE368B1BAA}"/>
    <cellStyle name="Normal 4 4 3 2 2 5 4" xfId="10647" xr:uid="{7AF40C84-613C-4B70-9568-9D0320E0DD33}"/>
    <cellStyle name="Normal 4 4 3 2 2 6" xfId="2545" xr:uid="{00000000-0005-0000-0000-000077150000}"/>
    <cellStyle name="Normal 4 4 3 2 2 6 2" xfId="6828" xr:uid="{00000000-0005-0000-0000-000078150000}"/>
    <cellStyle name="Normal 4 4 3 2 2 6 2 2" xfId="15278" xr:uid="{5D457365-0A54-4C82-A639-085460425F32}"/>
    <cellStyle name="Normal 4 4 3 2 2 6 3" xfId="11060" xr:uid="{FBABF34F-0C99-4C94-BA83-999811CE6DE4}"/>
    <cellStyle name="Normal 4 4 3 2 2 7" xfId="4763" xr:uid="{00000000-0005-0000-0000-000079150000}"/>
    <cellStyle name="Normal 4 4 3 2 2 7 2" xfId="13213" xr:uid="{26BA984E-9DDB-4B49-86E3-8CEEFDC66A2B}"/>
    <cellStyle name="Normal 4 4 3 2 2 8" xfId="8995" xr:uid="{99BA5673-0025-4F13-BFB4-05FA756E8CC9}"/>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18205D6D-AF46-4565-972C-7EDCC29BBCD7}"/>
    <cellStyle name="Normal 4 4 3 2 3 2 3" xfId="11552" xr:uid="{AA4DF255-A298-4911-A308-795DC39EA2B8}"/>
    <cellStyle name="Normal 4 4 3 2 3 3" xfId="5175" xr:uid="{00000000-0005-0000-0000-00007D150000}"/>
    <cellStyle name="Normal 4 4 3 2 3 3 2" xfId="13625" xr:uid="{EECFE745-3FA0-4930-A3BE-79D910159B74}"/>
    <cellStyle name="Normal 4 4 3 2 3 4" xfId="9407" xr:uid="{89B31390-E141-491D-81C9-DB7AD705E89D}"/>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9CA43EFB-5FCC-4338-9A12-221E5BBC9AE4}"/>
    <cellStyle name="Normal 4 4 3 2 4 2 3" xfId="11965" xr:uid="{239AFF35-E66F-4857-93A8-24B3F4EE7B0C}"/>
    <cellStyle name="Normal 4 4 3 2 4 3" xfId="5588" xr:uid="{00000000-0005-0000-0000-000081150000}"/>
    <cellStyle name="Normal 4 4 3 2 4 3 2" xfId="14038" xr:uid="{5C34774B-A39C-4632-9075-F60E2D9D7577}"/>
    <cellStyle name="Normal 4 4 3 2 4 4" xfId="9820" xr:uid="{48E05212-0AAC-4EF4-87ED-8C8787B45990}"/>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CA71FCEF-4DF3-41EB-B80C-7580B44FAA9F}"/>
    <cellStyle name="Normal 4 4 3 2 5 2 3" xfId="12378" xr:uid="{98FD91BC-DE17-4249-8D20-B7B0F7C87500}"/>
    <cellStyle name="Normal 4 4 3 2 5 3" xfId="6001" xr:uid="{00000000-0005-0000-0000-000085150000}"/>
    <cellStyle name="Normal 4 4 3 2 5 3 2" xfId="14451" xr:uid="{42287BF8-A68B-47CE-9F24-7C0667D73930}"/>
    <cellStyle name="Normal 4 4 3 2 5 4" xfId="10233" xr:uid="{8C036322-7B2D-414A-9BAD-28363454F96F}"/>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8ED4DFDF-CD30-4270-9DF9-2EA483CED0B2}"/>
    <cellStyle name="Normal 4 4 3 2 6 2 3" xfId="12791" xr:uid="{18D91895-0838-4128-ADD2-8B1C1A394266}"/>
    <cellStyle name="Normal 4 4 3 2 6 3" xfId="6414" xr:uid="{00000000-0005-0000-0000-000089150000}"/>
    <cellStyle name="Normal 4 4 3 2 6 3 2" xfId="14864" xr:uid="{2C6C5689-4221-475F-92E3-69D4366543D3}"/>
    <cellStyle name="Normal 4 4 3 2 6 4" xfId="10646" xr:uid="{896E5BDC-9FA3-4F80-8E8D-9446C76A7DAA}"/>
    <cellStyle name="Normal 4 4 3 2 7" xfId="2544" xr:uid="{00000000-0005-0000-0000-00008A150000}"/>
    <cellStyle name="Normal 4 4 3 2 7 2" xfId="6827" xr:uid="{00000000-0005-0000-0000-00008B150000}"/>
    <cellStyle name="Normal 4 4 3 2 7 2 2" xfId="15277" xr:uid="{AE140C4A-8E04-4E5E-BC82-50879F28D314}"/>
    <cellStyle name="Normal 4 4 3 2 7 3" xfId="11059" xr:uid="{5A51D966-8E14-45BE-8FE5-1D3ADE83CC09}"/>
    <cellStyle name="Normal 4 4 3 2 8" xfId="4762" xr:uid="{00000000-0005-0000-0000-00008C150000}"/>
    <cellStyle name="Normal 4 4 3 2 8 2" xfId="13212" xr:uid="{D0004078-2C5B-42AE-A27B-6E73476143AB}"/>
    <cellStyle name="Normal 4 4 3 2 9" xfId="8994" xr:uid="{392213D7-F771-4C0C-8DE0-ECCA75FA6078}"/>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1F3D7BB6-0BF1-49E3-9D47-5505E496FE0E}"/>
    <cellStyle name="Normal 4 4 3 3 2 2 3" xfId="11554" xr:uid="{7B2CAE83-D636-4914-9E5F-82C882E403F0}"/>
    <cellStyle name="Normal 4 4 3 3 2 3" xfId="5177" xr:uid="{00000000-0005-0000-0000-000091150000}"/>
    <cellStyle name="Normal 4 4 3 3 2 3 2" xfId="13627" xr:uid="{5786A8CB-9D04-41EF-86F2-C35C61367178}"/>
    <cellStyle name="Normal 4 4 3 3 2 4" xfId="9409" xr:uid="{46F46DDF-59E5-4B60-B05B-45F916A0F772}"/>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45516A6F-2FE6-467F-91B4-080E56E6472B}"/>
    <cellStyle name="Normal 4 4 3 3 3 2 3" xfId="11967" xr:uid="{945235BF-7EBA-4EC5-8494-36B29D3AA608}"/>
    <cellStyle name="Normal 4 4 3 3 3 3" xfId="5590" xr:uid="{00000000-0005-0000-0000-000095150000}"/>
    <cellStyle name="Normal 4 4 3 3 3 3 2" xfId="14040" xr:uid="{B68056AF-5EA5-41E2-BD46-66C06B3450FE}"/>
    <cellStyle name="Normal 4 4 3 3 3 4" xfId="9822" xr:uid="{876DE173-C1A7-4B17-B9D0-DE8F58449AE9}"/>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A3776190-EBC1-478A-B6BB-E75A52B87792}"/>
    <cellStyle name="Normal 4 4 3 3 4 2 3" xfId="12380" xr:uid="{2FC4AE65-CAE7-4E7B-A1E1-446E612D3C4D}"/>
    <cellStyle name="Normal 4 4 3 3 4 3" xfId="6003" xr:uid="{00000000-0005-0000-0000-000099150000}"/>
    <cellStyle name="Normal 4 4 3 3 4 3 2" xfId="14453" xr:uid="{8BAA38A9-DE3F-4880-A966-C8D9964537EE}"/>
    <cellStyle name="Normal 4 4 3 3 4 4" xfId="10235" xr:uid="{75E9DD2B-1199-4B24-B7B3-F8AFC98167E4}"/>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BC8CC646-6F00-4B85-8CE9-E5F0D22AEDA5}"/>
    <cellStyle name="Normal 4 4 3 3 5 2 3" xfId="12793" xr:uid="{36D145EA-C0B0-437F-B35C-E1AF448E774E}"/>
    <cellStyle name="Normal 4 4 3 3 5 3" xfId="6416" xr:uid="{00000000-0005-0000-0000-00009D150000}"/>
    <cellStyle name="Normal 4 4 3 3 5 3 2" xfId="14866" xr:uid="{3E666FF0-4FC6-467B-9B50-8A568CA95EB0}"/>
    <cellStyle name="Normal 4 4 3 3 5 4" xfId="10648" xr:uid="{E06B1B84-F6A1-4D92-BD85-2100CCFB4866}"/>
    <cellStyle name="Normal 4 4 3 3 6" xfId="2546" xr:uid="{00000000-0005-0000-0000-00009E150000}"/>
    <cellStyle name="Normal 4 4 3 3 6 2" xfId="6829" xr:uid="{00000000-0005-0000-0000-00009F150000}"/>
    <cellStyle name="Normal 4 4 3 3 6 2 2" xfId="15279" xr:uid="{A0CD8DC7-FE44-49E0-98E4-6B13B3787D35}"/>
    <cellStyle name="Normal 4 4 3 3 6 3" xfId="11061" xr:uid="{7FC7C715-AE93-4F5B-AEFB-39211DCE02E1}"/>
    <cellStyle name="Normal 4 4 3 3 7" xfId="4764" xr:uid="{00000000-0005-0000-0000-0000A0150000}"/>
    <cellStyle name="Normal 4 4 3 3 7 2" xfId="13214" xr:uid="{BB7C04BC-B090-403A-851A-DC13C84DA910}"/>
    <cellStyle name="Normal 4 4 3 3 8" xfId="8996" xr:uid="{661287DE-8146-4672-A231-0AA6A7E086E6}"/>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766BDDBD-FFBA-471E-8A11-0709B2A894B7}"/>
    <cellStyle name="Normal 4 4 3 4 2 3" xfId="11551" xr:uid="{BED2CDD5-03F5-4466-AE23-799B24F9FD85}"/>
    <cellStyle name="Normal 4 4 3 4 3" xfId="5174" xr:uid="{00000000-0005-0000-0000-0000A4150000}"/>
    <cellStyle name="Normal 4 4 3 4 3 2" xfId="13624" xr:uid="{34BF1125-1489-421C-A465-0C15C9221FB8}"/>
    <cellStyle name="Normal 4 4 3 4 4" xfId="9406" xr:uid="{FFD89A2A-EF29-485E-B867-CB3C91BF1409}"/>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D5F970E0-3430-4EBD-BB53-4BA8759EBA22}"/>
    <cellStyle name="Normal 4 4 3 5 2 3" xfId="11964" xr:uid="{09076D5E-2CFE-4C56-A224-63C62E5D76F0}"/>
    <cellStyle name="Normal 4 4 3 5 3" xfId="5587" xr:uid="{00000000-0005-0000-0000-0000A8150000}"/>
    <cellStyle name="Normal 4 4 3 5 3 2" xfId="14037" xr:uid="{6B03D2D0-1870-433F-9C69-A6AF53693F62}"/>
    <cellStyle name="Normal 4 4 3 5 4" xfId="9819" xr:uid="{91EB3885-B91A-4931-952C-1D7DB839D0EC}"/>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EFDAD05C-181B-40AF-823B-B93A1099C4E1}"/>
    <cellStyle name="Normal 4 4 3 6 2 3" xfId="12377" xr:uid="{769C6BE3-3D56-4590-9E62-304434B2507B}"/>
    <cellStyle name="Normal 4 4 3 6 3" xfId="6000" xr:uid="{00000000-0005-0000-0000-0000AC150000}"/>
    <cellStyle name="Normal 4 4 3 6 3 2" xfId="14450" xr:uid="{85D515CF-0E12-4F28-B01A-43AABDB91B2B}"/>
    <cellStyle name="Normal 4 4 3 6 4" xfId="10232" xr:uid="{97F42485-6676-4228-AB00-E87D4DC3713A}"/>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11059253-2101-4BA2-A02E-4D217F88E74E}"/>
    <cellStyle name="Normal 4 4 3 7 2 3" xfId="12790" xr:uid="{96EFA604-E506-4AD9-A7BE-BEBE793200F8}"/>
    <cellStyle name="Normal 4 4 3 7 3" xfId="6413" xr:uid="{00000000-0005-0000-0000-0000B0150000}"/>
    <cellStyle name="Normal 4 4 3 7 3 2" xfId="14863" xr:uid="{8B8EA70B-22E6-4B02-8692-7C6E66996A3C}"/>
    <cellStyle name="Normal 4 4 3 7 4" xfId="10645" xr:uid="{0A7AE7CE-AA50-465D-B931-F1339160A774}"/>
    <cellStyle name="Normal 4 4 3 8" xfId="2543" xr:uid="{00000000-0005-0000-0000-0000B1150000}"/>
    <cellStyle name="Normal 4 4 3 8 2" xfId="6826" xr:uid="{00000000-0005-0000-0000-0000B2150000}"/>
    <cellStyle name="Normal 4 4 3 8 2 2" xfId="15276" xr:uid="{3C3AE38D-7794-4979-82C9-16FA5149D438}"/>
    <cellStyle name="Normal 4 4 3 8 3" xfId="11058" xr:uid="{383AF552-0AC9-4557-9FA5-021CB3F5B80A}"/>
    <cellStyle name="Normal 4 4 3 9" xfId="4761" xr:uid="{00000000-0005-0000-0000-0000B3150000}"/>
    <cellStyle name="Normal 4 4 3 9 2" xfId="13211" xr:uid="{C36F7966-4311-410A-8790-8E6BB9B0E111}"/>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407B7CBF-4D98-4E1B-B705-5E2A4687B768}"/>
    <cellStyle name="Normal 4 4 4 2 2 2 3" xfId="11556" xr:uid="{7AA4530A-F354-4F6B-8994-596078A1AA33}"/>
    <cellStyle name="Normal 4 4 4 2 2 3" xfId="5179" xr:uid="{00000000-0005-0000-0000-0000B9150000}"/>
    <cellStyle name="Normal 4 4 4 2 2 3 2" xfId="13629" xr:uid="{E57C38DE-588A-41F4-B86A-7A847C85BAB4}"/>
    <cellStyle name="Normal 4 4 4 2 2 4" xfId="9411" xr:uid="{FE23277B-9686-4893-8035-97FC0DC9FEC3}"/>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54F75830-9F6E-47FF-813D-90AD1CB060B6}"/>
    <cellStyle name="Normal 4 4 4 2 3 2 3" xfId="11969" xr:uid="{4606D23C-7D98-407F-92E5-3268BAAEDAD2}"/>
    <cellStyle name="Normal 4 4 4 2 3 3" xfId="5592" xr:uid="{00000000-0005-0000-0000-0000BD150000}"/>
    <cellStyle name="Normal 4 4 4 2 3 3 2" xfId="14042" xr:uid="{CDC95256-C796-4FFC-BFAF-0D07BA26AAD5}"/>
    <cellStyle name="Normal 4 4 4 2 3 4" xfId="9824" xr:uid="{FA471952-2652-4C61-8090-329A0C0F783C}"/>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39286874-A1D5-4E7B-9D37-5DDA88472DF0}"/>
    <cellStyle name="Normal 4 4 4 2 4 2 3" xfId="12382" xr:uid="{AF8FDBAD-4753-4A6B-B439-73E3EDD492B3}"/>
    <cellStyle name="Normal 4 4 4 2 4 3" xfId="6005" xr:uid="{00000000-0005-0000-0000-0000C1150000}"/>
    <cellStyle name="Normal 4 4 4 2 4 3 2" xfId="14455" xr:uid="{D3935CA1-7451-4815-A2A5-646A7EF11887}"/>
    <cellStyle name="Normal 4 4 4 2 4 4" xfId="10237" xr:uid="{9C3D06E0-B4AF-47C2-AE1E-12D1F362AABA}"/>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D78100A4-08C9-43C2-924B-ADD5C3A585E1}"/>
    <cellStyle name="Normal 4 4 4 2 5 2 3" xfId="12795" xr:uid="{F4A0E60F-CAFF-4915-AA3A-98E57C6CD20B}"/>
    <cellStyle name="Normal 4 4 4 2 5 3" xfId="6418" xr:uid="{00000000-0005-0000-0000-0000C5150000}"/>
    <cellStyle name="Normal 4 4 4 2 5 3 2" xfId="14868" xr:uid="{0B4D4C53-38D7-483B-83DC-012050ACB23F}"/>
    <cellStyle name="Normal 4 4 4 2 5 4" xfId="10650" xr:uid="{25363DAC-978D-4996-BFAB-BBDA2156D5CF}"/>
    <cellStyle name="Normal 4 4 4 2 6" xfId="2548" xr:uid="{00000000-0005-0000-0000-0000C6150000}"/>
    <cellStyle name="Normal 4 4 4 2 6 2" xfId="6831" xr:uid="{00000000-0005-0000-0000-0000C7150000}"/>
    <cellStyle name="Normal 4 4 4 2 6 2 2" xfId="15281" xr:uid="{AD7510EF-E7F4-407A-8CD4-B27C0E366F35}"/>
    <cellStyle name="Normal 4 4 4 2 6 3" xfId="11063" xr:uid="{73486332-5146-405A-B203-941938FE6B06}"/>
    <cellStyle name="Normal 4 4 4 2 7" xfId="4766" xr:uid="{00000000-0005-0000-0000-0000C8150000}"/>
    <cellStyle name="Normal 4 4 4 2 7 2" xfId="13216" xr:uid="{8CBE3BE1-B6FC-4994-B103-FD2498E26CE7}"/>
    <cellStyle name="Normal 4 4 4 2 8" xfId="8998" xr:uid="{76C810B8-F608-4753-A135-96B1AF63E9DF}"/>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D33E4472-E1AC-4365-BB41-CB7EE55E602F}"/>
    <cellStyle name="Normal 4 4 4 3 2 3" xfId="11555" xr:uid="{44EB8667-86D8-4F95-BE71-2A1BABEDD8CF}"/>
    <cellStyle name="Normal 4 4 4 3 3" xfId="5178" xr:uid="{00000000-0005-0000-0000-0000CC150000}"/>
    <cellStyle name="Normal 4 4 4 3 3 2" xfId="13628" xr:uid="{1C57991C-C562-4877-BBEC-528C900F74DD}"/>
    <cellStyle name="Normal 4 4 4 3 4" xfId="9410" xr:uid="{284F3113-FAD5-4C6B-9A8D-DE7DA37F9B0E}"/>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4F5CA92E-993B-4961-A215-506BAF55FA8C}"/>
    <cellStyle name="Normal 4 4 4 4 2 3" xfId="11968" xr:uid="{9115ED1B-8E1D-4CBC-B42F-C4F5334D76CD}"/>
    <cellStyle name="Normal 4 4 4 4 3" xfId="5591" xr:uid="{00000000-0005-0000-0000-0000D0150000}"/>
    <cellStyle name="Normal 4 4 4 4 3 2" xfId="14041" xr:uid="{AFE2BF63-9AB9-48EB-A1D2-61BAE0B16FB2}"/>
    <cellStyle name="Normal 4 4 4 4 4" xfId="9823" xr:uid="{411E3E3E-DB50-44FE-A3A6-A8B9B0D32D29}"/>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B0E8BC5D-D765-4D08-AC28-F5B01D14BBB5}"/>
    <cellStyle name="Normal 4 4 4 5 2 3" xfId="12381" xr:uid="{8C21C33C-8490-44D9-B45F-0AFF2E6EB4D6}"/>
    <cellStyle name="Normal 4 4 4 5 3" xfId="6004" xr:uid="{00000000-0005-0000-0000-0000D4150000}"/>
    <cellStyle name="Normal 4 4 4 5 3 2" xfId="14454" xr:uid="{8A8D2FC6-82B5-47C2-B49E-D4DA7B561509}"/>
    <cellStyle name="Normal 4 4 4 5 4" xfId="10236" xr:uid="{43D50729-DA2B-4601-91AE-11BB90BA65E1}"/>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967BD6E3-A98B-433F-8AA6-9B524A10BFC4}"/>
    <cellStyle name="Normal 4 4 4 6 2 3" xfId="12794" xr:uid="{B2540E2A-8FDB-4D9F-A045-18A0D3E25053}"/>
    <cellStyle name="Normal 4 4 4 6 3" xfId="6417" xr:uid="{00000000-0005-0000-0000-0000D8150000}"/>
    <cellStyle name="Normal 4 4 4 6 3 2" xfId="14867" xr:uid="{8FBA8057-1C1F-4DF1-9019-F145776A4552}"/>
    <cellStyle name="Normal 4 4 4 6 4" xfId="10649" xr:uid="{E7AFA408-80D3-455E-9733-343A07321635}"/>
    <cellStyle name="Normal 4 4 4 7" xfId="2547" xr:uid="{00000000-0005-0000-0000-0000D9150000}"/>
    <cellStyle name="Normal 4 4 4 7 2" xfId="6830" xr:uid="{00000000-0005-0000-0000-0000DA150000}"/>
    <cellStyle name="Normal 4 4 4 7 2 2" xfId="15280" xr:uid="{19E195E3-B995-4CDA-BD6D-8E6592DBE1AF}"/>
    <cellStyle name="Normal 4 4 4 7 3" xfId="11062" xr:uid="{DF0D5B4E-9852-41FE-82F0-F7E05D3543BF}"/>
    <cellStyle name="Normal 4 4 4 8" xfId="4765" xr:uid="{00000000-0005-0000-0000-0000DB150000}"/>
    <cellStyle name="Normal 4 4 4 8 2" xfId="13215" xr:uid="{44EF59D2-317D-4A98-B499-DC2C47E9DFD8}"/>
    <cellStyle name="Normal 4 4 4 9" xfId="8997" xr:uid="{2AD88A83-2291-4736-AEC9-2DD8EE1F9383}"/>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48899FF9-53BD-4869-8495-022F209E0699}"/>
    <cellStyle name="Normal 4 4 5 2 2 3" xfId="11557" xr:uid="{B94FB616-E885-4C2E-93F2-B0BBA240EE83}"/>
    <cellStyle name="Normal 4 4 5 2 3" xfId="5180" xr:uid="{00000000-0005-0000-0000-0000E0150000}"/>
    <cellStyle name="Normal 4 4 5 2 3 2" xfId="13630" xr:uid="{C96AA1DF-8C5E-4464-9CC0-93FF60DBD1C9}"/>
    <cellStyle name="Normal 4 4 5 2 4" xfId="9412" xr:uid="{94C9251D-2C11-43EA-9E2F-BE4941E1934F}"/>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ADAB5789-3491-4A8F-9103-6B7E4871E3BE}"/>
    <cellStyle name="Normal 4 4 5 3 2 3" xfId="11970" xr:uid="{58491652-F0E7-4263-AD75-7FC3691C2586}"/>
    <cellStyle name="Normal 4 4 5 3 3" xfId="5593" xr:uid="{00000000-0005-0000-0000-0000E4150000}"/>
    <cellStyle name="Normal 4 4 5 3 3 2" xfId="14043" xr:uid="{2DD0EBD2-53A8-4E8A-83C8-DE0C47F5B757}"/>
    <cellStyle name="Normal 4 4 5 3 4" xfId="9825" xr:uid="{F83AD365-1A23-4360-84AA-67295E32BE0E}"/>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82FC5977-F4E1-4224-A271-5B0FF3B5DC80}"/>
    <cellStyle name="Normal 4 4 5 4 2 3" xfId="12383" xr:uid="{04A2DA4A-AE02-4EB1-B876-2DA93C3B6F4B}"/>
    <cellStyle name="Normal 4 4 5 4 3" xfId="6006" xr:uid="{00000000-0005-0000-0000-0000E8150000}"/>
    <cellStyle name="Normal 4 4 5 4 3 2" xfId="14456" xr:uid="{CFF6A141-73B0-4022-87D9-6989FD0BEB7B}"/>
    <cellStyle name="Normal 4 4 5 4 4" xfId="10238" xr:uid="{7ECF895C-5573-4458-A7BC-5D3C220F4A73}"/>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9946C2D8-840E-47DB-9828-693C4305C0AE}"/>
    <cellStyle name="Normal 4 4 5 5 2 3" xfId="12796" xr:uid="{5126F6EB-FACE-4269-8C5C-BA22C4168D86}"/>
    <cellStyle name="Normal 4 4 5 5 3" xfId="6419" xr:uid="{00000000-0005-0000-0000-0000EC150000}"/>
    <cellStyle name="Normal 4 4 5 5 3 2" xfId="14869" xr:uid="{91F37C55-5F04-48AF-9C8B-9AB26A4CF5CF}"/>
    <cellStyle name="Normal 4 4 5 5 4" xfId="10651" xr:uid="{79C56E11-9B84-4168-90CC-52AC6956812D}"/>
    <cellStyle name="Normal 4 4 5 6" xfId="2549" xr:uid="{00000000-0005-0000-0000-0000ED150000}"/>
    <cellStyle name="Normal 4 4 5 6 2" xfId="6832" xr:uid="{00000000-0005-0000-0000-0000EE150000}"/>
    <cellStyle name="Normal 4 4 5 6 2 2" xfId="15282" xr:uid="{E70D273E-9713-47B5-BDA1-DB6473FBC65A}"/>
    <cellStyle name="Normal 4 4 5 6 3" xfId="11064" xr:uid="{20415F4D-CAE0-4C4F-B064-51E9FE0ED2C0}"/>
    <cellStyle name="Normal 4 4 5 7" xfId="4767" xr:uid="{00000000-0005-0000-0000-0000EF150000}"/>
    <cellStyle name="Normal 4 4 5 7 2" xfId="13217" xr:uid="{14E0A8B0-F005-4FAB-863E-C0B436DF8B2F}"/>
    <cellStyle name="Normal 4 4 5 8" xfId="8999" xr:uid="{E321253A-6650-4FB3-963D-E5E910F5AEBA}"/>
    <cellStyle name="Normal 4 4 6" xfId="853" xr:uid="{00000000-0005-0000-0000-0000F0150000}"/>
    <cellStyle name="Normal 4 4 6 2" xfId="3088" xr:uid="{00000000-0005-0000-0000-0000F1150000}"/>
    <cellStyle name="Normal 4 4 6 2 2" xfId="7310" xr:uid="{00000000-0005-0000-0000-0000F2150000}"/>
    <cellStyle name="Normal 4 4 6 2 2 2" xfId="15760" xr:uid="{08E33835-685B-485F-90E4-7AF0D3C50783}"/>
    <cellStyle name="Normal 4 4 6 2 3" xfId="11542" xr:uid="{CEA37110-7607-4B58-9C6C-8265C7238D65}"/>
    <cellStyle name="Normal 4 4 6 3" xfId="5165" xr:uid="{00000000-0005-0000-0000-0000F3150000}"/>
    <cellStyle name="Normal 4 4 6 3 2" xfId="13615" xr:uid="{13F5D7A8-1F49-4DA6-8BE1-CAA743A48D82}"/>
    <cellStyle name="Normal 4 4 6 4" xfId="9397" xr:uid="{FB6BE9EF-3272-4934-9CE4-259EBAB2FD89}"/>
    <cellStyle name="Normal 4 4 7" xfId="1271" xr:uid="{00000000-0005-0000-0000-0000F4150000}"/>
    <cellStyle name="Normal 4 4 7 2" xfId="3501" xr:uid="{00000000-0005-0000-0000-0000F5150000}"/>
    <cellStyle name="Normal 4 4 7 2 2" xfId="7723" xr:uid="{00000000-0005-0000-0000-0000F6150000}"/>
    <cellStyle name="Normal 4 4 7 2 2 2" xfId="16173" xr:uid="{C05B35E0-B0FB-4A5C-BDDE-018326D71B54}"/>
    <cellStyle name="Normal 4 4 7 2 3" xfId="11955" xr:uid="{E0510979-513A-4B3A-A028-80D564AD2C9C}"/>
    <cellStyle name="Normal 4 4 7 3" xfId="5578" xr:uid="{00000000-0005-0000-0000-0000F7150000}"/>
    <cellStyle name="Normal 4 4 7 3 2" xfId="14028" xr:uid="{D9051665-27C0-4178-8FD2-9D2AC5F20EC9}"/>
    <cellStyle name="Normal 4 4 7 4" xfId="9810" xr:uid="{C1561DB7-7E62-48CB-8555-FB86AEFF1462}"/>
    <cellStyle name="Normal 4 4 8" xfId="1684" xr:uid="{00000000-0005-0000-0000-0000F8150000}"/>
    <cellStyle name="Normal 4 4 8 2" xfId="3914" xr:uid="{00000000-0005-0000-0000-0000F9150000}"/>
    <cellStyle name="Normal 4 4 8 2 2" xfId="8136" xr:uid="{00000000-0005-0000-0000-0000FA150000}"/>
    <cellStyle name="Normal 4 4 8 2 2 2" xfId="16586" xr:uid="{E80B17D7-A913-42C5-8A03-5A2E5A529CE3}"/>
    <cellStyle name="Normal 4 4 8 2 3" xfId="12368" xr:uid="{A98BE022-D1E5-49CF-B85E-410F2141F176}"/>
    <cellStyle name="Normal 4 4 8 3" xfId="5991" xr:uid="{00000000-0005-0000-0000-0000FB150000}"/>
    <cellStyle name="Normal 4 4 8 3 2" xfId="14441" xr:uid="{330CD39B-9EC2-4592-9039-794B3013CE99}"/>
    <cellStyle name="Normal 4 4 8 4" xfId="10223" xr:uid="{CE13EA5E-3748-4AE2-88E5-695035F0E6D5}"/>
    <cellStyle name="Normal 4 4 9" xfId="2098" xr:uid="{00000000-0005-0000-0000-0000FC150000}"/>
    <cellStyle name="Normal 4 4 9 2" xfId="4327" xr:uid="{00000000-0005-0000-0000-0000FD150000}"/>
    <cellStyle name="Normal 4 4 9 2 2" xfId="8549" xr:uid="{00000000-0005-0000-0000-0000FE150000}"/>
    <cellStyle name="Normal 4 4 9 2 2 2" xfId="16999" xr:uid="{0266C0AF-F102-4AC1-BFFE-592919A4C47D}"/>
    <cellStyle name="Normal 4 4 9 2 3" xfId="12781" xr:uid="{2E6A7676-2655-49C4-A007-ECE132BDA7F4}"/>
    <cellStyle name="Normal 4 4 9 3" xfId="6404" xr:uid="{00000000-0005-0000-0000-0000FF150000}"/>
    <cellStyle name="Normal 4 4 9 3 2" xfId="14854" xr:uid="{B917C324-E2ED-4CFF-8586-40C49832019B}"/>
    <cellStyle name="Normal 4 4 9 4" xfId="10636" xr:uid="{29BEAFFF-04C5-4EFD-ACB0-F84ECC2E373D}"/>
    <cellStyle name="Normal 4 5" xfId="394" xr:uid="{00000000-0005-0000-0000-000000160000}"/>
    <cellStyle name="Normal 4 6" xfId="395" xr:uid="{00000000-0005-0000-0000-000001160000}"/>
    <cellStyle name="Normal 4 6 10" xfId="4768" xr:uid="{00000000-0005-0000-0000-000002160000}"/>
    <cellStyle name="Normal 4 6 10 2" xfId="13218" xr:uid="{7C161C63-6372-4C9F-ABFC-D15DF341B392}"/>
    <cellStyle name="Normal 4 6 11" xfId="9000" xr:uid="{830DAF62-3CDB-467E-8560-A0D464055A6B}"/>
    <cellStyle name="Normal 4 6 2" xfId="396" xr:uid="{00000000-0005-0000-0000-000003160000}"/>
    <cellStyle name="Normal 4 6 2 10" xfId="9001" xr:uid="{BE15C29E-718B-4153-B1C7-8E88DF403C7E}"/>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79D53B72-3151-4112-844A-3D84210AD18A}"/>
    <cellStyle name="Normal 4 6 2 2 2 2 2 3" xfId="11561" xr:uid="{424D203F-8205-4A9A-BAA6-2225D43171E0}"/>
    <cellStyle name="Normal 4 6 2 2 2 2 3" xfId="5184" xr:uid="{00000000-0005-0000-0000-000009160000}"/>
    <cellStyle name="Normal 4 6 2 2 2 2 3 2" xfId="13634" xr:uid="{15067168-E4C5-42AE-8E2E-E2A6329EEF66}"/>
    <cellStyle name="Normal 4 6 2 2 2 2 4" xfId="9416" xr:uid="{D9A23327-B4DF-4BD9-B50E-B78486E6B31D}"/>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11D9CFCE-E37E-4986-BC42-350885F42F76}"/>
    <cellStyle name="Normal 4 6 2 2 2 3 2 3" xfId="11974" xr:uid="{11ACC2FA-24A6-4A5B-BC4C-D225B0B83BDC}"/>
    <cellStyle name="Normal 4 6 2 2 2 3 3" xfId="5597" xr:uid="{00000000-0005-0000-0000-00000D160000}"/>
    <cellStyle name="Normal 4 6 2 2 2 3 3 2" xfId="14047" xr:uid="{F433C6A4-FCF7-4E32-B0CD-ED28E2115715}"/>
    <cellStyle name="Normal 4 6 2 2 2 3 4" xfId="9829" xr:uid="{BFE9C2E7-9E46-4DF9-ACE0-981E1793DD39}"/>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B88B570E-7FE6-4625-BEE6-E97E6394CFD8}"/>
    <cellStyle name="Normal 4 6 2 2 2 4 2 3" xfId="12387" xr:uid="{5E33D0B6-98B4-4309-8469-A907EE48026A}"/>
    <cellStyle name="Normal 4 6 2 2 2 4 3" xfId="6010" xr:uid="{00000000-0005-0000-0000-000011160000}"/>
    <cellStyle name="Normal 4 6 2 2 2 4 3 2" xfId="14460" xr:uid="{58C24083-FF6E-479C-9381-5415362EC320}"/>
    <cellStyle name="Normal 4 6 2 2 2 4 4" xfId="10242" xr:uid="{A15D62AF-B83A-49A1-9BC9-9A89921F6688}"/>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164B1C89-D98B-402E-A96E-6E0FE0559546}"/>
    <cellStyle name="Normal 4 6 2 2 2 5 2 3" xfId="12800" xr:uid="{E91E635E-F929-4F96-890C-B7DFC751A0E5}"/>
    <cellStyle name="Normal 4 6 2 2 2 5 3" xfId="6423" xr:uid="{00000000-0005-0000-0000-000015160000}"/>
    <cellStyle name="Normal 4 6 2 2 2 5 3 2" xfId="14873" xr:uid="{859FF20A-72F4-4A5D-A322-B3233024BD1B}"/>
    <cellStyle name="Normal 4 6 2 2 2 5 4" xfId="10655" xr:uid="{D654BAF4-C7A5-42B3-A6A3-80B5262D1DF3}"/>
    <cellStyle name="Normal 4 6 2 2 2 6" xfId="2553" xr:uid="{00000000-0005-0000-0000-000016160000}"/>
    <cellStyle name="Normal 4 6 2 2 2 6 2" xfId="6836" xr:uid="{00000000-0005-0000-0000-000017160000}"/>
    <cellStyle name="Normal 4 6 2 2 2 6 2 2" xfId="15286" xr:uid="{FDFDAEF5-2C3D-4A0D-937E-F29BA02CF960}"/>
    <cellStyle name="Normal 4 6 2 2 2 6 3" xfId="11068" xr:uid="{A5BF00C8-B1E4-401A-9EEF-5859EB89E553}"/>
    <cellStyle name="Normal 4 6 2 2 2 7" xfId="4771" xr:uid="{00000000-0005-0000-0000-000018160000}"/>
    <cellStyle name="Normal 4 6 2 2 2 7 2" xfId="13221" xr:uid="{FF39CBFE-AB0A-4B69-91DC-6C610D84F6C4}"/>
    <cellStyle name="Normal 4 6 2 2 2 8" xfId="9003" xr:uid="{EE933000-B4E6-4F48-9F8F-BD1D1C592BE7}"/>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67E8993A-EEAD-4992-8650-B664B339C4CE}"/>
    <cellStyle name="Normal 4 6 2 2 3 2 3" xfId="11560" xr:uid="{3A680C39-6BFD-40E7-869A-3BF98EB548D0}"/>
    <cellStyle name="Normal 4 6 2 2 3 3" xfId="5183" xr:uid="{00000000-0005-0000-0000-00001C160000}"/>
    <cellStyle name="Normal 4 6 2 2 3 3 2" xfId="13633" xr:uid="{C7799FC3-EF95-491C-9B23-CD363F1B2BDF}"/>
    <cellStyle name="Normal 4 6 2 2 3 4" xfId="9415" xr:uid="{AB40565F-690A-48AA-85C3-E628313DF1C8}"/>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2CB48C6B-74DF-426F-9024-234451B20C23}"/>
    <cellStyle name="Normal 4 6 2 2 4 2 3" xfId="11973" xr:uid="{952474D2-2987-4B76-8391-1DE71172A593}"/>
    <cellStyle name="Normal 4 6 2 2 4 3" xfId="5596" xr:uid="{00000000-0005-0000-0000-000020160000}"/>
    <cellStyle name="Normal 4 6 2 2 4 3 2" xfId="14046" xr:uid="{8802312F-A0D5-44DC-974C-A5C157099489}"/>
    <cellStyle name="Normal 4 6 2 2 4 4" xfId="9828" xr:uid="{BF6042ED-A303-42D5-8350-7BBBEF18EB8F}"/>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7E4C10E8-EDE2-4E9D-AE8C-DFC30CFC2E5B}"/>
    <cellStyle name="Normal 4 6 2 2 5 2 3" xfId="12386" xr:uid="{29D6EB47-773B-46E1-9FEF-A6BBB098B942}"/>
    <cellStyle name="Normal 4 6 2 2 5 3" xfId="6009" xr:uid="{00000000-0005-0000-0000-000024160000}"/>
    <cellStyle name="Normal 4 6 2 2 5 3 2" xfId="14459" xr:uid="{C0311C91-93AB-48E0-9B60-E4264753695E}"/>
    <cellStyle name="Normal 4 6 2 2 5 4" xfId="10241" xr:uid="{C5A8F694-0533-496F-A990-BAC9CEADA1C2}"/>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83F2A23F-707A-4B5B-9669-E800493A8444}"/>
    <cellStyle name="Normal 4 6 2 2 6 2 3" xfId="12799" xr:uid="{8C2D1FA9-71A4-468A-9A83-4BCD347F9D70}"/>
    <cellStyle name="Normal 4 6 2 2 6 3" xfId="6422" xr:uid="{00000000-0005-0000-0000-000028160000}"/>
    <cellStyle name="Normal 4 6 2 2 6 3 2" xfId="14872" xr:uid="{66D3B8A1-5C24-4581-833B-FBB33F05B8B6}"/>
    <cellStyle name="Normal 4 6 2 2 6 4" xfId="10654" xr:uid="{003E6391-B248-4AAC-A2E8-E1082802A52B}"/>
    <cellStyle name="Normal 4 6 2 2 7" xfId="2552" xr:uid="{00000000-0005-0000-0000-000029160000}"/>
    <cellStyle name="Normal 4 6 2 2 7 2" xfId="6835" xr:uid="{00000000-0005-0000-0000-00002A160000}"/>
    <cellStyle name="Normal 4 6 2 2 7 2 2" xfId="15285" xr:uid="{8CC6421E-87DC-40AE-B166-D3215B854ED7}"/>
    <cellStyle name="Normal 4 6 2 2 7 3" xfId="11067" xr:uid="{D1F9D8E1-9CDB-444F-853F-4F7615F05099}"/>
    <cellStyle name="Normal 4 6 2 2 8" xfId="4770" xr:uid="{00000000-0005-0000-0000-00002B160000}"/>
    <cellStyle name="Normal 4 6 2 2 8 2" xfId="13220" xr:uid="{F316E4B3-F3D3-4447-AA39-88EF3063516E}"/>
    <cellStyle name="Normal 4 6 2 2 9" xfId="9002" xr:uid="{7AB47DAC-AAB5-4129-B601-68A056C94DA4}"/>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2CDB96EC-A744-4A1A-BE4F-052AF029FD6E}"/>
    <cellStyle name="Normal 4 6 2 3 2 2 3" xfId="11562" xr:uid="{A91893CB-FD04-499E-82CC-E9FC5679F9CF}"/>
    <cellStyle name="Normal 4 6 2 3 2 3" xfId="5185" xr:uid="{00000000-0005-0000-0000-000030160000}"/>
    <cellStyle name="Normal 4 6 2 3 2 3 2" xfId="13635" xr:uid="{67A40028-60B1-4006-83C2-D3640187C87E}"/>
    <cellStyle name="Normal 4 6 2 3 2 4" xfId="9417" xr:uid="{9F19D775-6B61-44CD-A33E-556BE4597CE3}"/>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918AEB49-A2BD-4E84-B379-5A8FC55AAEB1}"/>
    <cellStyle name="Normal 4 6 2 3 3 2 3" xfId="11975" xr:uid="{2C9F2AEF-6D65-4655-870F-DCB629A51A83}"/>
    <cellStyle name="Normal 4 6 2 3 3 3" xfId="5598" xr:uid="{00000000-0005-0000-0000-000034160000}"/>
    <cellStyle name="Normal 4 6 2 3 3 3 2" xfId="14048" xr:uid="{3F13FFD3-938A-455E-828B-523C92B66B86}"/>
    <cellStyle name="Normal 4 6 2 3 3 4" xfId="9830" xr:uid="{A25A5F6D-9FDE-4DAF-BE0F-4658FDDA84DB}"/>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6ACD725E-0CFE-4821-BB02-EF4F7387EDF6}"/>
    <cellStyle name="Normal 4 6 2 3 4 2 3" xfId="12388" xr:uid="{9A1BB2EE-A0F3-44A9-AEA4-8CA7BFFE953D}"/>
    <cellStyle name="Normal 4 6 2 3 4 3" xfId="6011" xr:uid="{00000000-0005-0000-0000-000038160000}"/>
    <cellStyle name="Normal 4 6 2 3 4 3 2" xfId="14461" xr:uid="{ABC1CF53-B985-4945-AE71-B6CEC6161C9A}"/>
    <cellStyle name="Normal 4 6 2 3 4 4" xfId="10243" xr:uid="{F9B5B80D-D6B2-46D3-A9CB-58D0AB5262EB}"/>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C5ADF55F-4409-4FD9-AEA7-788C012E9DD6}"/>
    <cellStyle name="Normal 4 6 2 3 5 2 3" xfId="12801" xr:uid="{BDB59650-03C2-44A4-8A7D-701AA0B83E32}"/>
    <cellStyle name="Normal 4 6 2 3 5 3" xfId="6424" xr:uid="{00000000-0005-0000-0000-00003C160000}"/>
    <cellStyle name="Normal 4 6 2 3 5 3 2" xfId="14874" xr:uid="{4F28F1CC-4A7C-407B-90B8-738AFC1C5E54}"/>
    <cellStyle name="Normal 4 6 2 3 5 4" xfId="10656" xr:uid="{BA0B96D4-2D5E-496A-804F-9ADBFB0A7BB2}"/>
    <cellStyle name="Normal 4 6 2 3 6" xfId="2554" xr:uid="{00000000-0005-0000-0000-00003D160000}"/>
    <cellStyle name="Normal 4 6 2 3 6 2" xfId="6837" xr:uid="{00000000-0005-0000-0000-00003E160000}"/>
    <cellStyle name="Normal 4 6 2 3 6 2 2" xfId="15287" xr:uid="{C792BC97-5795-4ECC-B910-C65B68EE87C3}"/>
    <cellStyle name="Normal 4 6 2 3 6 3" xfId="11069" xr:uid="{D13311D2-1C8E-4B29-B6CC-65072EB3B044}"/>
    <cellStyle name="Normal 4 6 2 3 7" xfId="4772" xr:uid="{00000000-0005-0000-0000-00003F160000}"/>
    <cellStyle name="Normal 4 6 2 3 7 2" xfId="13222" xr:uid="{443D9BC0-69F0-4EF8-BDEA-B91109844F5B}"/>
    <cellStyle name="Normal 4 6 2 3 8" xfId="9004" xr:uid="{EE96F09F-6598-46E1-9891-0CB96A17DCF3}"/>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B0ADFE12-E253-4EAD-9233-5FF5E872BE00}"/>
    <cellStyle name="Normal 4 6 2 4 2 3" xfId="11559" xr:uid="{21B051CE-398B-4AA7-97CC-5DE47B17F058}"/>
    <cellStyle name="Normal 4 6 2 4 3" xfId="5182" xr:uid="{00000000-0005-0000-0000-000043160000}"/>
    <cellStyle name="Normal 4 6 2 4 3 2" xfId="13632" xr:uid="{20644759-BFBC-48C8-9AF3-9178934542B7}"/>
    <cellStyle name="Normal 4 6 2 4 4" xfId="9414" xr:uid="{EC320FC8-FA8D-42A5-8AFE-EDD1E2AA41E1}"/>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5E8B969D-7F0F-459D-AD6F-370CB6979D5C}"/>
    <cellStyle name="Normal 4 6 2 5 2 3" xfId="11972" xr:uid="{29551941-7925-4343-A8B1-2452E2A6DA1C}"/>
    <cellStyle name="Normal 4 6 2 5 3" xfId="5595" xr:uid="{00000000-0005-0000-0000-000047160000}"/>
    <cellStyle name="Normal 4 6 2 5 3 2" xfId="14045" xr:uid="{64BD7CDE-707C-4826-A2EA-D7E7C3AC520F}"/>
    <cellStyle name="Normal 4 6 2 5 4" xfId="9827" xr:uid="{B5BBC3C8-4559-4CEE-8E20-07DE5DABE5E6}"/>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BD8718E7-A523-4E90-B387-7CEC178DF68B}"/>
    <cellStyle name="Normal 4 6 2 6 2 3" xfId="12385" xr:uid="{B7CEDAD6-B5C1-4501-A18E-F2DB93039F6C}"/>
    <cellStyle name="Normal 4 6 2 6 3" xfId="6008" xr:uid="{00000000-0005-0000-0000-00004B160000}"/>
    <cellStyle name="Normal 4 6 2 6 3 2" xfId="14458" xr:uid="{38B40E72-5254-40D8-8887-7DB85F73BFAF}"/>
    <cellStyle name="Normal 4 6 2 6 4" xfId="10240" xr:uid="{01E2570D-EA26-43E4-9D84-DBDA5E1CD896}"/>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214442ED-B334-4805-B5B6-2E6CF8D0A804}"/>
    <cellStyle name="Normal 4 6 2 7 2 3" xfId="12798" xr:uid="{85750287-C077-432E-AB2F-942CFFF795BC}"/>
    <cellStyle name="Normal 4 6 2 7 3" xfId="6421" xr:uid="{00000000-0005-0000-0000-00004F160000}"/>
    <cellStyle name="Normal 4 6 2 7 3 2" xfId="14871" xr:uid="{CC0187FC-6B51-49C6-A4EE-72AF63054FBA}"/>
    <cellStyle name="Normal 4 6 2 7 4" xfId="10653" xr:uid="{50F91212-42E3-492A-BCD3-3353BA4CC403}"/>
    <cellStyle name="Normal 4 6 2 8" xfId="2551" xr:uid="{00000000-0005-0000-0000-000050160000}"/>
    <cellStyle name="Normal 4 6 2 8 2" xfId="6834" xr:uid="{00000000-0005-0000-0000-000051160000}"/>
    <cellStyle name="Normal 4 6 2 8 2 2" xfId="15284" xr:uid="{E7C5FCBF-3221-49F4-BF02-A4E2E53010EF}"/>
    <cellStyle name="Normal 4 6 2 8 3" xfId="11066" xr:uid="{6D06F243-1CC6-408C-9F40-820978DAC1A9}"/>
    <cellStyle name="Normal 4 6 2 9" xfId="4769" xr:uid="{00000000-0005-0000-0000-000052160000}"/>
    <cellStyle name="Normal 4 6 2 9 2" xfId="13219" xr:uid="{7113E98E-C517-4E20-B307-8A3E6E57724E}"/>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1769503F-346C-4669-9A72-EAEAC3B8D288}"/>
    <cellStyle name="Normal 4 6 3 2 2 2 3" xfId="11564" xr:uid="{833DE618-57DE-42AC-A933-950A5651966C}"/>
    <cellStyle name="Normal 4 6 3 2 2 3" xfId="5187" xr:uid="{00000000-0005-0000-0000-000058160000}"/>
    <cellStyle name="Normal 4 6 3 2 2 3 2" xfId="13637" xr:uid="{649A2DA5-92F2-427F-A137-762CE7492D8B}"/>
    <cellStyle name="Normal 4 6 3 2 2 4" xfId="9419" xr:uid="{BC0DC4E8-D049-4C1F-BD8E-F384DD283062}"/>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41A874A1-F7CF-4F06-B135-EA574F2CE5A3}"/>
    <cellStyle name="Normal 4 6 3 2 3 2 3" xfId="11977" xr:uid="{25BF157E-A13A-4578-8F11-23F7097ACACF}"/>
    <cellStyle name="Normal 4 6 3 2 3 3" xfId="5600" xr:uid="{00000000-0005-0000-0000-00005C160000}"/>
    <cellStyle name="Normal 4 6 3 2 3 3 2" xfId="14050" xr:uid="{9BF83F12-3555-4692-B255-DE0717BDC8A5}"/>
    <cellStyle name="Normal 4 6 3 2 3 4" xfId="9832" xr:uid="{129954DA-EDED-4313-B53A-83F8189F2F1E}"/>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FB2AF559-F8A2-4CDA-86ED-0FC30C286CB5}"/>
    <cellStyle name="Normal 4 6 3 2 4 2 3" xfId="12390" xr:uid="{1D73E6E7-3728-4852-B373-FFB74EDCC5C6}"/>
    <cellStyle name="Normal 4 6 3 2 4 3" xfId="6013" xr:uid="{00000000-0005-0000-0000-000060160000}"/>
    <cellStyle name="Normal 4 6 3 2 4 3 2" xfId="14463" xr:uid="{CCAAE51B-3D3B-4ADD-AFBD-B67C2EB21E68}"/>
    <cellStyle name="Normal 4 6 3 2 4 4" xfId="10245" xr:uid="{9085263D-4FD6-4EE8-BF29-7F8B65115D7B}"/>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04F8A026-781B-412A-9980-56C071DF9A80}"/>
    <cellStyle name="Normal 4 6 3 2 5 2 3" xfId="12803" xr:uid="{62B3CA82-B3FA-4FAE-AF7D-969A475FEFB8}"/>
    <cellStyle name="Normal 4 6 3 2 5 3" xfId="6426" xr:uid="{00000000-0005-0000-0000-000064160000}"/>
    <cellStyle name="Normal 4 6 3 2 5 3 2" xfId="14876" xr:uid="{EC035B37-C1FD-4670-B5A5-1CFF5EAF37F6}"/>
    <cellStyle name="Normal 4 6 3 2 5 4" xfId="10658" xr:uid="{DE9EB4C4-8FDD-43BC-8EFB-3D175B15AF23}"/>
    <cellStyle name="Normal 4 6 3 2 6" xfId="2556" xr:uid="{00000000-0005-0000-0000-000065160000}"/>
    <cellStyle name="Normal 4 6 3 2 6 2" xfId="6839" xr:uid="{00000000-0005-0000-0000-000066160000}"/>
    <cellStyle name="Normal 4 6 3 2 6 2 2" xfId="15289" xr:uid="{57D88E07-5BD9-4809-998A-1E51E358F792}"/>
    <cellStyle name="Normal 4 6 3 2 6 3" xfId="11071" xr:uid="{6731C513-1056-489C-8263-335CB8A879BD}"/>
    <cellStyle name="Normal 4 6 3 2 7" xfId="4774" xr:uid="{00000000-0005-0000-0000-000067160000}"/>
    <cellStyle name="Normal 4 6 3 2 7 2" xfId="13224" xr:uid="{9E129068-74B2-42A7-9A7C-35A18DDB9DF8}"/>
    <cellStyle name="Normal 4 6 3 2 8" xfId="9006" xr:uid="{7C3DFF3E-9D34-49D8-9471-4957513121E2}"/>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0D1FC4DA-FDF9-4976-8C52-5D8893318E64}"/>
    <cellStyle name="Normal 4 6 3 3 2 3" xfId="11563" xr:uid="{0F0B69D3-C9CF-4859-B8A5-ED8754A217B8}"/>
    <cellStyle name="Normal 4 6 3 3 3" xfId="5186" xr:uid="{00000000-0005-0000-0000-00006B160000}"/>
    <cellStyle name="Normal 4 6 3 3 3 2" xfId="13636" xr:uid="{EE263575-E3AB-4C8D-BC95-8C8E4E5EAAA5}"/>
    <cellStyle name="Normal 4 6 3 3 4" xfId="9418" xr:uid="{D3687DA9-2823-4C11-B35B-3403704A31D0}"/>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1F085714-A555-46DB-83E3-35CE5A8B297A}"/>
    <cellStyle name="Normal 4 6 3 4 2 3" xfId="11976" xr:uid="{A06754BB-93C6-47B5-8F27-8B5EC9C1102C}"/>
    <cellStyle name="Normal 4 6 3 4 3" xfId="5599" xr:uid="{00000000-0005-0000-0000-00006F160000}"/>
    <cellStyle name="Normal 4 6 3 4 3 2" xfId="14049" xr:uid="{13891A39-8062-4882-A895-0F68EC9B2619}"/>
    <cellStyle name="Normal 4 6 3 4 4" xfId="9831" xr:uid="{24F5D7DE-536C-4146-BFA3-C6119F51703B}"/>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4AFFB7B2-3DF2-44AA-A5C9-287BA94B8273}"/>
    <cellStyle name="Normal 4 6 3 5 2 3" xfId="12389" xr:uid="{57649CB5-A4B8-47D3-9068-12DCE904298A}"/>
    <cellStyle name="Normal 4 6 3 5 3" xfId="6012" xr:uid="{00000000-0005-0000-0000-000073160000}"/>
    <cellStyle name="Normal 4 6 3 5 3 2" xfId="14462" xr:uid="{02A20D01-CB78-4B38-A2D9-6E090B8BD226}"/>
    <cellStyle name="Normal 4 6 3 5 4" xfId="10244" xr:uid="{F54F5EE9-ACF1-4515-AE1A-51B2FB20E5B3}"/>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6BC9E517-0883-475E-A0DF-E4C7063068F9}"/>
    <cellStyle name="Normal 4 6 3 6 2 3" xfId="12802" xr:uid="{0452B88C-09FF-40F3-8525-E2207CBF45B5}"/>
    <cellStyle name="Normal 4 6 3 6 3" xfId="6425" xr:uid="{00000000-0005-0000-0000-000077160000}"/>
    <cellStyle name="Normal 4 6 3 6 3 2" xfId="14875" xr:uid="{29C5BBE4-1E27-4D88-B7A7-09A2878B775A}"/>
    <cellStyle name="Normal 4 6 3 6 4" xfId="10657" xr:uid="{C599384E-6740-42D3-BE2F-0A74F8D4CC55}"/>
    <cellStyle name="Normal 4 6 3 7" xfId="2555" xr:uid="{00000000-0005-0000-0000-000078160000}"/>
    <cellStyle name="Normal 4 6 3 7 2" xfId="6838" xr:uid="{00000000-0005-0000-0000-000079160000}"/>
    <cellStyle name="Normal 4 6 3 7 2 2" xfId="15288" xr:uid="{687D6053-8683-4EDE-AEA1-0740769E7CDF}"/>
    <cellStyle name="Normal 4 6 3 7 3" xfId="11070" xr:uid="{E292E81D-C475-4D9B-AED6-5196F164A157}"/>
    <cellStyle name="Normal 4 6 3 8" xfId="4773" xr:uid="{00000000-0005-0000-0000-00007A160000}"/>
    <cellStyle name="Normal 4 6 3 8 2" xfId="13223" xr:uid="{8D43DF41-ABF1-4C09-93E3-B182A62CB523}"/>
    <cellStyle name="Normal 4 6 3 9" xfId="9005" xr:uid="{D40BB80D-FCD8-4A4B-A627-868051D6E01F}"/>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8453222A-D886-4A1D-BC16-941A2FEB70DA}"/>
    <cellStyle name="Normal 4 6 4 2 2 3" xfId="11565" xr:uid="{CD31508D-B080-4225-8770-0692D80192E1}"/>
    <cellStyle name="Normal 4 6 4 2 3" xfId="5188" xr:uid="{00000000-0005-0000-0000-00007F160000}"/>
    <cellStyle name="Normal 4 6 4 2 3 2" xfId="13638" xr:uid="{9FDF4006-8EF4-4314-B485-8B0C57027014}"/>
    <cellStyle name="Normal 4 6 4 2 4" xfId="9420" xr:uid="{172F5225-89FB-4267-943D-9CF99B08B843}"/>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2500C7FA-5B80-44C3-9EF7-9E125610AB70}"/>
    <cellStyle name="Normal 4 6 4 3 2 3" xfId="11978" xr:uid="{1FDFEEA5-714D-4A79-A52C-ACC9E783C8C4}"/>
    <cellStyle name="Normal 4 6 4 3 3" xfId="5601" xr:uid="{00000000-0005-0000-0000-000083160000}"/>
    <cellStyle name="Normal 4 6 4 3 3 2" xfId="14051" xr:uid="{4447EE2F-3C77-47D5-B399-9EA31BFF0625}"/>
    <cellStyle name="Normal 4 6 4 3 4" xfId="9833" xr:uid="{C9B8E609-56B5-40D6-89D5-C913A4DACE5E}"/>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A97F7B4E-97E9-4F3A-A49D-729513C9C365}"/>
    <cellStyle name="Normal 4 6 4 4 2 3" xfId="12391" xr:uid="{2B5A762A-6E48-4EBF-9D67-7CAE41CC540B}"/>
    <cellStyle name="Normal 4 6 4 4 3" xfId="6014" xr:uid="{00000000-0005-0000-0000-000087160000}"/>
    <cellStyle name="Normal 4 6 4 4 3 2" xfId="14464" xr:uid="{1DE9CC92-8E26-4223-953F-53007F98F73F}"/>
    <cellStyle name="Normal 4 6 4 4 4" xfId="10246" xr:uid="{B8CD3D9D-B21E-4634-AFF8-D97C2C5CFFD3}"/>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AC4AFE35-7BDB-45F7-9175-57A32CD376ED}"/>
    <cellStyle name="Normal 4 6 4 5 2 3" xfId="12804" xr:uid="{652801AF-C475-4EE7-920B-8CA20D84AF5C}"/>
    <cellStyle name="Normal 4 6 4 5 3" xfId="6427" xr:uid="{00000000-0005-0000-0000-00008B160000}"/>
    <cellStyle name="Normal 4 6 4 5 3 2" xfId="14877" xr:uid="{42FB197A-9B63-4DB8-A6F0-02F8CAFFE15A}"/>
    <cellStyle name="Normal 4 6 4 5 4" xfId="10659" xr:uid="{C51D6042-8746-4172-A602-FDC0357387E8}"/>
    <cellStyle name="Normal 4 6 4 6" xfId="2557" xr:uid="{00000000-0005-0000-0000-00008C160000}"/>
    <cellStyle name="Normal 4 6 4 6 2" xfId="6840" xr:uid="{00000000-0005-0000-0000-00008D160000}"/>
    <cellStyle name="Normal 4 6 4 6 2 2" xfId="15290" xr:uid="{6360EC98-77E4-4451-A083-7C44F3F12B62}"/>
    <cellStyle name="Normal 4 6 4 6 3" xfId="11072" xr:uid="{409EF207-490A-4DD2-9F80-A5DF8631E2A9}"/>
    <cellStyle name="Normal 4 6 4 7" xfId="4775" xr:uid="{00000000-0005-0000-0000-00008E160000}"/>
    <cellStyle name="Normal 4 6 4 7 2" xfId="13225" xr:uid="{F7F2EA55-7959-4CF2-A2FB-D960822ED0DB}"/>
    <cellStyle name="Normal 4 6 4 8" xfId="9007" xr:uid="{A8F3F390-860D-4E13-A260-8AA6C873A723}"/>
    <cellStyle name="Normal 4 6 5" xfId="869" xr:uid="{00000000-0005-0000-0000-00008F160000}"/>
    <cellStyle name="Normal 4 6 5 2" xfId="3104" xr:uid="{00000000-0005-0000-0000-000090160000}"/>
    <cellStyle name="Normal 4 6 5 2 2" xfId="7326" xr:uid="{00000000-0005-0000-0000-000091160000}"/>
    <cellStyle name="Normal 4 6 5 2 2 2" xfId="15776" xr:uid="{3DD87149-DAD6-4413-A5DF-7B0EE9DF7421}"/>
    <cellStyle name="Normal 4 6 5 2 3" xfId="11558" xr:uid="{729CC59A-C854-45E0-BA10-7C418CD17AEA}"/>
    <cellStyle name="Normal 4 6 5 3" xfId="5181" xr:uid="{00000000-0005-0000-0000-000092160000}"/>
    <cellStyle name="Normal 4 6 5 3 2" xfId="13631" xr:uid="{C656A4A9-6B9F-47B4-8976-5316E95365F3}"/>
    <cellStyle name="Normal 4 6 5 4" xfId="9413" xr:uid="{3B188660-4FA5-454F-9B75-4433F1DFE164}"/>
    <cellStyle name="Normal 4 6 6" xfId="1287" xr:uid="{00000000-0005-0000-0000-000093160000}"/>
    <cellStyle name="Normal 4 6 6 2" xfId="3517" xr:uid="{00000000-0005-0000-0000-000094160000}"/>
    <cellStyle name="Normal 4 6 6 2 2" xfId="7739" xr:uid="{00000000-0005-0000-0000-000095160000}"/>
    <cellStyle name="Normal 4 6 6 2 2 2" xfId="16189" xr:uid="{4A3419EA-CD99-4CAA-A111-DB6C6EC7F9A3}"/>
    <cellStyle name="Normal 4 6 6 2 3" xfId="11971" xr:uid="{66AB449A-5A48-415B-866F-1510230C3861}"/>
    <cellStyle name="Normal 4 6 6 3" xfId="5594" xr:uid="{00000000-0005-0000-0000-000096160000}"/>
    <cellStyle name="Normal 4 6 6 3 2" xfId="14044" xr:uid="{7A716F01-698A-401A-B629-A4CDA4283B11}"/>
    <cellStyle name="Normal 4 6 6 4" xfId="9826" xr:uid="{909239EA-AE29-4A47-BF9F-B97CF99226D1}"/>
    <cellStyle name="Normal 4 6 7" xfId="1700" xr:uid="{00000000-0005-0000-0000-000097160000}"/>
    <cellStyle name="Normal 4 6 7 2" xfId="3930" xr:uid="{00000000-0005-0000-0000-000098160000}"/>
    <cellStyle name="Normal 4 6 7 2 2" xfId="8152" xr:uid="{00000000-0005-0000-0000-000099160000}"/>
    <cellStyle name="Normal 4 6 7 2 2 2" xfId="16602" xr:uid="{B290C4A9-BF8F-428D-8985-910E4D71E2BB}"/>
    <cellStyle name="Normal 4 6 7 2 3" xfId="12384" xr:uid="{442136D4-2FE5-4A2E-B908-40F4ACA0910D}"/>
    <cellStyle name="Normal 4 6 7 3" xfId="6007" xr:uid="{00000000-0005-0000-0000-00009A160000}"/>
    <cellStyle name="Normal 4 6 7 3 2" xfId="14457" xr:uid="{A7537CDC-05B2-4E8D-920D-5361102B58EF}"/>
    <cellStyle name="Normal 4 6 7 4" xfId="10239" xr:uid="{87220155-593C-4C91-AF89-A6A6BFD3224E}"/>
    <cellStyle name="Normal 4 6 8" xfId="2114" xr:uid="{00000000-0005-0000-0000-00009B160000}"/>
    <cellStyle name="Normal 4 6 8 2" xfId="4343" xr:uid="{00000000-0005-0000-0000-00009C160000}"/>
    <cellStyle name="Normal 4 6 8 2 2" xfId="8565" xr:uid="{00000000-0005-0000-0000-00009D160000}"/>
    <cellStyle name="Normal 4 6 8 2 2 2" xfId="17015" xr:uid="{504A9FEB-81AB-4430-90E3-C8191FCBC425}"/>
    <cellStyle name="Normal 4 6 8 2 3" xfId="12797" xr:uid="{62D0BBD6-9F26-48DD-A49B-E6E2035974D6}"/>
    <cellStyle name="Normal 4 6 8 3" xfId="6420" xr:uid="{00000000-0005-0000-0000-00009E160000}"/>
    <cellStyle name="Normal 4 6 8 3 2" xfId="14870" xr:uid="{5B2FD18E-14A6-413C-A15B-A15DF345426C}"/>
    <cellStyle name="Normal 4 6 8 4" xfId="10652" xr:uid="{3F2C31B9-EAFE-4C47-A08B-ED791C68DE0C}"/>
    <cellStyle name="Normal 4 6 9" xfId="2550" xr:uid="{00000000-0005-0000-0000-00009F160000}"/>
    <cellStyle name="Normal 4 6 9 2" xfId="6833" xr:uid="{00000000-0005-0000-0000-0000A0160000}"/>
    <cellStyle name="Normal 4 6 9 2 2" xfId="15283" xr:uid="{55FD48B2-6857-4688-9463-873ECA115F23}"/>
    <cellStyle name="Normal 4 6 9 3" xfId="11065" xr:uid="{4572A195-5E63-4243-8C57-B1BB587E97A4}"/>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5C9E7A90-A201-479A-A342-186DA0F532B2}"/>
    <cellStyle name="Normal 4 7 2 2 2 3" xfId="11567" xr:uid="{9E2EB1AC-8E8C-42ED-9333-0CDA2226DD6F}"/>
    <cellStyle name="Normal 4 7 2 2 3" xfId="5190" xr:uid="{00000000-0005-0000-0000-0000A6160000}"/>
    <cellStyle name="Normal 4 7 2 2 3 2" xfId="13640" xr:uid="{04C0CB83-AD75-4BC1-AEA3-7E7DCE9C42A0}"/>
    <cellStyle name="Normal 4 7 2 2 4" xfId="9422" xr:uid="{7D577864-C432-41B2-A51E-428A23257126}"/>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13A459CE-4EE6-4F86-A383-F1ED61AEA64F}"/>
    <cellStyle name="Normal 4 7 2 3 2 3" xfId="11980" xr:uid="{BA534193-C1DD-454E-B2E0-310039E206A1}"/>
    <cellStyle name="Normal 4 7 2 3 3" xfId="5603" xr:uid="{00000000-0005-0000-0000-0000AA160000}"/>
    <cellStyle name="Normal 4 7 2 3 3 2" xfId="14053" xr:uid="{394C26EE-54F4-46A4-83C2-1268D13248EC}"/>
    <cellStyle name="Normal 4 7 2 3 4" xfId="9835" xr:uid="{875CC382-AD9B-4669-9F12-FB7F5B5516D1}"/>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A31D5686-DFE0-48D3-AC08-94ACE2CDE0F6}"/>
    <cellStyle name="Normal 4 7 2 4 2 3" xfId="12393" xr:uid="{D5F73307-43DC-4680-839F-02ABC6D9B2D8}"/>
    <cellStyle name="Normal 4 7 2 4 3" xfId="6016" xr:uid="{00000000-0005-0000-0000-0000AE160000}"/>
    <cellStyle name="Normal 4 7 2 4 3 2" xfId="14466" xr:uid="{78BF8C01-4D39-401E-8753-71017901774C}"/>
    <cellStyle name="Normal 4 7 2 4 4" xfId="10248" xr:uid="{776F3676-F8D8-4A65-9B41-09C6CFBCC73F}"/>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95DF0795-7495-498F-84EB-965B0F77F4DB}"/>
    <cellStyle name="Normal 4 7 2 5 2 3" xfId="12806" xr:uid="{7266BCDC-4A47-40D4-87A0-BE4A201754C2}"/>
    <cellStyle name="Normal 4 7 2 5 3" xfId="6429" xr:uid="{00000000-0005-0000-0000-0000B2160000}"/>
    <cellStyle name="Normal 4 7 2 5 3 2" xfId="14879" xr:uid="{46B5728F-C9B9-4A86-923B-E5E661657838}"/>
    <cellStyle name="Normal 4 7 2 5 4" xfId="10661" xr:uid="{294D2E32-C6BB-4194-941A-606A207965BB}"/>
    <cellStyle name="Normal 4 7 2 6" xfId="2559" xr:uid="{00000000-0005-0000-0000-0000B3160000}"/>
    <cellStyle name="Normal 4 7 2 6 2" xfId="6842" xr:uid="{00000000-0005-0000-0000-0000B4160000}"/>
    <cellStyle name="Normal 4 7 2 6 2 2" xfId="15292" xr:uid="{FB35B542-E227-41FC-A909-88AD74C8C92E}"/>
    <cellStyle name="Normal 4 7 2 6 3" xfId="11074" xr:uid="{19A1CAA3-2252-4BD5-B88D-7EBED8FDB4A8}"/>
    <cellStyle name="Normal 4 7 2 7" xfId="4777" xr:uid="{00000000-0005-0000-0000-0000B5160000}"/>
    <cellStyle name="Normal 4 7 2 7 2" xfId="13227" xr:uid="{6CDBA84C-EFFD-477E-8539-DF781145722D}"/>
    <cellStyle name="Normal 4 7 2 8" xfId="9009" xr:uid="{3EB806DF-0054-4D87-B279-D95BB7B05FB7}"/>
    <cellStyle name="Normal 4 7 3" xfId="877" xr:uid="{00000000-0005-0000-0000-0000B6160000}"/>
    <cellStyle name="Normal 4 7 3 2" xfId="3112" xr:uid="{00000000-0005-0000-0000-0000B7160000}"/>
    <cellStyle name="Normal 4 7 3 2 2" xfId="7334" xr:uid="{00000000-0005-0000-0000-0000B8160000}"/>
    <cellStyle name="Normal 4 7 3 2 2 2" xfId="15784" xr:uid="{409BD60F-AFB7-4748-A82D-72C6A669295F}"/>
    <cellStyle name="Normal 4 7 3 2 3" xfId="11566" xr:uid="{E6194478-B0EA-4D33-A55E-2F5AFE6F7A5F}"/>
    <cellStyle name="Normal 4 7 3 3" xfId="5189" xr:uid="{00000000-0005-0000-0000-0000B9160000}"/>
    <cellStyle name="Normal 4 7 3 3 2" xfId="13639" xr:uid="{F8EAC9AB-21E1-4977-B14F-1B0D27DCB430}"/>
    <cellStyle name="Normal 4 7 3 4" xfId="9421" xr:uid="{B475E087-79A4-4681-A725-0868D044087E}"/>
    <cellStyle name="Normal 4 7 4" xfId="1295" xr:uid="{00000000-0005-0000-0000-0000BA160000}"/>
    <cellStyle name="Normal 4 7 4 2" xfId="3525" xr:uid="{00000000-0005-0000-0000-0000BB160000}"/>
    <cellStyle name="Normal 4 7 4 2 2" xfId="7747" xr:uid="{00000000-0005-0000-0000-0000BC160000}"/>
    <cellStyle name="Normal 4 7 4 2 2 2" xfId="16197" xr:uid="{034B5104-0C03-4EC4-AFC9-B9E8614A640D}"/>
    <cellStyle name="Normal 4 7 4 2 3" xfId="11979" xr:uid="{22DB5F4A-7CD6-4A7E-9765-A9691DDCCF36}"/>
    <cellStyle name="Normal 4 7 4 3" xfId="5602" xr:uid="{00000000-0005-0000-0000-0000BD160000}"/>
    <cellStyle name="Normal 4 7 4 3 2" xfId="14052" xr:uid="{9720AF42-0E67-4A2F-875E-7FCE591DF075}"/>
    <cellStyle name="Normal 4 7 4 4" xfId="9834" xr:uid="{FDC9C4C3-EE9C-42BB-AEEF-E03111B39258}"/>
    <cellStyle name="Normal 4 7 5" xfId="1708" xr:uid="{00000000-0005-0000-0000-0000BE160000}"/>
    <cellStyle name="Normal 4 7 5 2" xfId="3938" xr:uid="{00000000-0005-0000-0000-0000BF160000}"/>
    <cellStyle name="Normal 4 7 5 2 2" xfId="8160" xr:uid="{00000000-0005-0000-0000-0000C0160000}"/>
    <cellStyle name="Normal 4 7 5 2 2 2" xfId="16610" xr:uid="{22FDCB54-2B10-42C9-855F-16B6568E7DC8}"/>
    <cellStyle name="Normal 4 7 5 2 3" xfId="12392" xr:uid="{653BE080-1494-4CCF-BB10-1F86135AD73F}"/>
    <cellStyle name="Normal 4 7 5 3" xfId="6015" xr:uid="{00000000-0005-0000-0000-0000C1160000}"/>
    <cellStyle name="Normal 4 7 5 3 2" xfId="14465" xr:uid="{0C82537D-942C-46F6-AE2F-9FB5A64FDA6B}"/>
    <cellStyle name="Normal 4 7 5 4" xfId="10247" xr:uid="{B4C44C1E-F052-49A2-ADC5-5485B49F2E5D}"/>
    <cellStyle name="Normal 4 7 6" xfId="2122" xr:uid="{00000000-0005-0000-0000-0000C2160000}"/>
    <cellStyle name="Normal 4 7 6 2" xfId="4351" xr:uid="{00000000-0005-0000-0000-0000C3160000}"/>
    <cellStyle name="Normal 4 7 6 2 2" xfId="8573" xr:uid="{00000000-0005-0000-0000-0000C4160000}"/>
    <cellStyle name="Normal 4 7 6 2 2 2" xfId="17023" xr:uid="{40007220-52F2-413D-88E6-A0F1ACD0CDBC}"/>
    <cellStyle name="Normal 4 7 6 2 3" xfId="12805" xr:uid="{943C1D11-4976-401A-9490-AB9A8FCE669F}"/>
    <cellStyle name="Normal 4 7 6 3" xfId="6428" xr:uid="{00000000-0005-0000-0000-0000C5160000}"/>
    <cellStyle name="Normal 4 7 6 3 2" xfId="14878" xr:uid="{F847DDFF-DD63-4E5D-9C05-B5DD9F634050}"/>
    <cellStyle name="Normal 4 7 6 4" xfId="10660" xr:uid="{C4262D95-9CBE-4344-AEA3-DF84BAF0DD8D}"/>
    <cellStyle name="Normal 4 7 7" xfId="2558" xr:uid="{00000000-0005-0000-0000-0000C6160000}"/>
    <cellStyle name="Normal 4 7 7 2" xfId="6841" xr:uid="{00000000-0005-0000-0000-0000C7160000}"/>
    <cellStyle name="Normal 4 7 7 2 2" xfId="15291" xr:uid="{77322310-49AA-469F-B7CA-61A9D13FE635}"/>
    <cellStyle name="Normal 4 7 7 3" xfId="11073" xr:uid="{DD6FADEB-4683-46D7-BD3F-85A756CBC04D}"/>
    <cellStyle name="Normal 4 7 8" xfId="4776" xr:uid="{00000000-0005-0000-0000-0000C8160000}"/>
    <cellStyle name="Normal 4 7 8 2" xfId="13226" xr:uid="{D1C67B00-F044-4019-A61D-1B013C3FD869}"/>
    <cellStyle name="Normal 4 7 9" xfId="9008" xr:uid="{3545A48A-20B0-4575-A345-577448B24FCC}"/>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15786" xr:uid="{A1A12AB9-8220-4D9A-8EBE-C2836B116A37}"/>
    <cellStyle name="Normal 4 8 2 2 3" xfId="11568" xr:uid="{C1DB7555-3630-4401-AC0A-37830600F29F}"/>
    <cellStyle name="Normal 4 8 2 3" xfId="5191" xr:uid="{00000000-0005-0000-0000-0000CD160000}"/>
    <cellStyle name="Normal 4 8 2 3 2" xfId="13641" xr:uid="{0F47116B-4617-487F-9BD0-210D57D18BEE}"/>
    <cellStyle name="Normal 4 8 2 4" xfId="9423" xr:uid="{E6E1977A-2ECA-4999-A127-5A394D57548B}"/>
    <cellStyle name="Normal 4 8 3" xfId="1297" xr:uid="{00000000-0005-0000-0000-0000CE160000}"/>
    <cellStyle name="Normal 4 8 3 2" xfId="3527" xr:uid="{00000000-0005-0000-0000-0000CF160000}"/>
    <cellStyle name="Normal 4 8 3 2 2" xfId="7749" xr:uid="{00000000-0005-0000-0000-0000D0160000}"/>
    <cellStyle name="Normal 4 8 3 2 2 2" xfId="16199" xr:uid="{734C8EF2-E6BD-4E1D-A52A-E61890EF9FF6}"/>
    <cellStyle name="Normal 4 8 3 2 3" xfId="11981" xr:uid="{F01C115C-E15A-4470-8EA1-D10662465FA4}"/>
    <cellStyle name="Normal 4 8 3 3" xfId="5604" xr:uid="{00000000-0005-0000-0000-0000D1160000}"/>
    <cellStyle name="Normal 4 8 3 3 2" xfId="14054" xr:uid="{668DE21D-8692-4E52-BD2F-57F1815BF6D7}"/>
    <cellStyle name="Normal 4 8 3 4" xfId="9836" xr:uid="{2022B170-E5B5-4CEF-BFBA-79F9CE8914D8}"/>
    <cellStyle name="Normal 4 8 4" xfId="1710" xr:uid="{00000000-0005-0000-0000-0000D2160000}"/>
    <cellStyle name="Normal 4 8 4 2" xfId="3940" xr:uid="{00000000-0005-0000-0000-0000D3160000}"/>
    <cellStyle name="Normal 4 8 4 2 2" xfId="8162" xr:uid="{00000000-0005-0000-0000-0000D4160000}"/>
    <cellStyle name="Normal 4 8 4 2 2 2" xfId="16612" xr:uid="{4B8223C8-838E-4093-8999-BEC46B0C92ED}"/>
    <cellStyle name="Normal 4 8 4 2 3" xfId="12394" xr:uid="{664135AD-5893-4426-9159-B816EF2229F4}"/>
    <cellStyle name="Normal 4 8 4 3" xfId="6017" xr:uid="{00000000-0005-0000-0000-0000D5160000}"/>
    <cellStyle name="Normal 4 8 4 3 2" xfId="14467" xr:uid="{63A48B78-B587-438F-8B1E-8D484B5B0498}"/>
    <cellStyle name="Normal 4 8 4 4" xfId="10249" xr:uid="{2C13807F-7C13-45C7-A80A-CE4089DA8EDD}"/>
    <cellStyle name="Normal 4 8 5" xfId="2124" xr:uid="{00000000-0005-0000-0000-0000D6160000}"/>
    <cellStyle name="Normal 4 8 5 2" xfId="4353" xr:uid="{00000000-0005-0000-0000-0000D7160000}"/>
    <cellStyle name="Normal 4 8 5 2 2" xfId="8575" xr:uid="{00000000-0005-0000-0000-0000D8160000}"/>
    <cellStyle name="Normal 4 8 5 2 2 2" xfId="17025" xr:uid="{07D6D573-595A-432B-AD5D-8F3F5ECC438C}"/>
    <cellStyle name="Normal 4 8 5 2 3" xfId="12807" xr:uid="{BB1E2555-1D20-4430-B330-F8BD8F0D3018}"/>
    <cellStyle name="Normal 4 8 5 3" xfId="6430" xr:uid="{00000000-0005-0000-0000-0000D9160000}"/>
    <cellStyle name="Normal 4 8 5 3 2" xfId="14880" xr:uid="{7760910E-106F-4A25-89CD-AEB43203BD52}"/>
    <cellStyle name="Normal 4 8 5 4" xfId="10662" xr:uid="{D275ECE5-74EB-4389-9D38-8C70B9C6DEAA}"/>
    <cellStyle name="Normal 4 8 6" xfId="2560" xr:uid="{00000000-0005-0000-0000-0000DA160000}"/>
    <cellStyle name="Normal 4 8 6 2" xfId="6843" xr:uid="{00000000-0005-0000-0000-0000DB160000}"/>
    <cellStyle name="Normal 4 8 6 2 2" xfId="15293" xr:uid="{9140200A-009A-4B4F-821A-47E8ADCF3AE4}"/>
    <cellStyle name="Normal 4 8 6 3" xfId="11075" xr:uid="{62C4D990-4B76-4987-B893-C5F5D5476938}"/>
    <cellStyle name="Normal 4 8 7" xfId="4778" xr:uid="{00000000-0005-0000-0000-0000DC160000}"/>
    <cellStyle name="Normal 4 8 7 2" xfId="13228" xr:uid="{69A89A62-C652-45F1-884B-4F265860F328}"/>
    <cellStyle name="Normal 4 8 8" xfId="9010" xr:uid="{B62AA8DA-230E-485A-A065-EAB70D7CA105}"/>
    <cellStyle name="Normal 4 9" xfId="4715" xr:uid="{00000000-0005-0000-0000-0000DD160000}"/>
    <cellStyle name="Normal 4 9 2" xfId="13165" xr:uid="{3714BDA1-DFF0-4B2B-B8CA-FE69E4396E57}"/>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26B6ADCB-79FE-4170-B8CE-EF61582CC3C3}"/>
    <cellStyle name="Normal 5 10 2 3" xfId="12395" xr:uid="{2A318B89-96CB-4EAB-A901-A8BF28048771}"/>
    <cellStyle name="Normal 5 10 3" xfId="6018" xr:uid="{00000000-0005-0000-0000-0000E2160000}"/>
    <cellStyle name="Normal 5 10 3 2" xfId="14468" xr:uid="{E87426CE-5C29-458C-A420-FD02F5CE0E2C}"/>
    <cellStyle name="Normal 5 10 4" xfId="10250" xr:uid="{B8BB004D-5E34-47DB-9F22-C5EE3D587D4D}"/>
    <cellStyle name="Normal 5 11" xfId="2125" xr:uid="{00000000-0005-0000-0000-0000E3160000}"/>
    <cellStyle name="Normal 5 11 2" xfId="4354" xr:uid="{00000000-0005-0000-0000-0000E4160000}"/>
    <cellStyle name="Normal 5 11 2 2" xfId="8576" xr:uid="{00000000-0005-0000-0000-0000E5160000}"/>
    <cellStyle name="Normal 5 11 2 2 2" xfId="17026" xr:uid="{3A233A03-A9C8-4929-AF28-1986E0EA0185}"/>
    <cellStyle name="Normal 5 11 2 3" xfId="12808" xr:uid="{9C83D919-8F2D-4F3E-90E1-0A87717AF6DF}"/>
    <cellStyle name="Normal 5 11 3" xfId="6431" xr:uid="{00000000-0005-0000-0000-0000E6160000}"/>
    <cellStyle name="Normal 5 11 3 2" xfId="14881" xr:uid="{1CDAE5B4-F3B8-4414-9A2C-363515089841}"/>
    <cellStyle name="Normal 5 11 4" xfId="10663" xr:uid="{027EEFEB-970C-440D-90A6-FFCFA0EBB052}"/>
    <cellStyle name="Normal 5 12" xfId="2561" xr:uid="{00000000-0005-0000-0000-0000E7160000}"/>
    <cellStyle name="Normal 5 12 2" xfId="6844" xr:uid="{00000000-0005-0000-0000-0000E8160000}"/>
    <cellStyle name="Normal 5 12 2 2" xfId="15294" xr:uid="{A1875F05-7C4B-4C51-AE6F-7465B2D11486}"/>
    <cellStyle name="Normal 5 12 3" xfId="11076" xr:uid="{7C809BF9-045D-4FFE-BFE5-60B39F63EC71}"/>
    <cellStyle name="Normal 5 13" xfId="4779" xr:uid="{00000000-0005-0000-0000-0000E9160000}"/>
    <cellStyle name="Normal 5 13 2" xfId="13229" xr:uid="{26FD31CC-CEE7-47D3-B421-13D01D5E68F1}"/>
    <cellStyle name="Normal 5 14" xfId="9011" xr:uid="{E1D448CF-0ECD-4649-A8D5-7F7F8656AEF5}"/>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1ADCC425-45A4-4340-B481-E091F696E02B}"/>
    <cellStyle name="Normal 5 2 10 2 3" xfId="12809" xr:uid="{80D928BE-B52C-4B6F-84E0-75A5728F11D1}"/>
    <cellStyle name="Normal 5 2 10 3" xfId="6432" xr:uid="{00000000-0005-0000-0000-0000EE160000}"/>
    <cellStyle name="Normal 5 2 10 3 2" xfId="14882" xr:uid="{6D092C80-F0BE-46EB-AA4B-9944791BF01F}"/>
    <cellStyle name="Normal 5 2 10 4" xfId="10664" xr:uid="{24452DA7-1628-4D09-A708-5FAB6F3745A4}"/>
    <cellStyle name="Normal 5 2 11" xfId="2562" xr:uid="{00000000-0005-0000-0000-0000EF160000}"/>
    <cellStyle name="Normal 5 2 11 2" xfId="6845" xr:uid="{00000000-0005-0000-0000-0000F0160000}"/>
    <cellStyle name="Normal 5 2 11 2 2" xfId="15295" xr:uid="{BC873C3E-1935-4EA3-BD03-E5A9AB14407B}"/>
    <cellStyle name="Normal 5 2 11 3" xfId="11077" xr:uid="{1433854A-0489-41B5-8AC2-EF12B41DA877}"/>
    <cellStyle name="Normal 5 2 12" xfId="4780" xr:uid="{00000000-0005-0000-0000-0000F1160000}"/>
    <cellStyle name="Normal 5 2 12 2" xfId="13230" xr:uid="{332EABEE-E1EE-47B5-8B52-A15658A63F0F}"/>
    <cellStyle name="Normal 5 2 13" xfId="9012" xr:uid="{2C2F5B63-9BD1-4CE7-8FE4-82683D894DE5}"/>
    <cellStyle name="Normal 5 2 2" xfId="408" xr:uid="{00000000-0005-0000-0000-0000F2160000}"/>
    <cellStyle name="Normal 5 2 2 10" xfId="2563" xr:uid="{00000000-0005-0000-0000-0000F3160000}"/>
    <cellStyle name="Normal 5 2 2 10 2" xfId="6846" xr:uid="{00000000-0005-0000-0000-0000F4160000}"/>
    <cellStyle name="Normal 5 2 2 10 2 2" xfId="15296" xr:uid="{A82D828D-DFE8-432B-ABFE-1F0659E29F84}"/>
    <cellStyle name="Normal 5 2 2 10 3" xfId="11078" xr:uid="{42644352-391B-4705-A0FF-E68458945E35}"/>
    <cellStyle name="Normal 5 2 2 11" xfId="4781" xr:uid="{00000000-0005-0000-0000-0000F5160000}"/>
    <cellStyle name="Normal 5 2 2 11 2" xfId="13231" xr:uid="{9795D4C1-F292-4FF8-B21F-F91576282447}"/>
    <cellStyle name="Normal 5 2 2 12" xfId="9013" xr:uid="{03EC4B65-1D7A-42A0-B99C-60E6FCC3769E}"/>
    <cellStyle name="Normal 5 2 2 2" xfId="409" xr:uid="{00000000-0005-0000-0000-0000F6160000}"/>
    <cellStyle name="Normal 5 2 2 2 10" xfId="4782" xr:uid="{00000000-0005-0000-0000-0000F7160000}"/>
    <cellStyle name="Normal 5 2 2 2 10 2" xfId="13232" xr:uid="{9C6CB759-A479-47AA-8A1D-0D06EAEF3A43}"/>
    <cellStyle name="Normal 5 2 2 2 11" xfId="9014" xr:uid="{745E723E-0F48-4A3A-A3DA-330D050A49BD}"/>
    <cellStyle name="Normal 5 2 2 2 2" xfId="410" xr:uid="{00000000-0005-0000-0000-0000F8160000}"/>
    <cellStyle name="Normal 5 2 2 2 2 10" xfId="9015" xr:uid="{871270F0-AEA6-4BDB-AD1E-AD838E32A62E}"/>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2EB9E832-02A2-4906-A7FA-DD3495D482A8}"/>
    <cellStyle name="Normal 5 2 2 2 2 2 2 2 2 3" xfId="11575" xr:uid="{9264DCD0-3395-4CCD-8E8C-A8C5479201FE}"/>
    <cellStyle name="Normal 5 2 2 2 2 2 2 2 3" xfId="5198" xr:uid="{00000000-0005-0000-0000-0000FE160000}"/>
    <cellStyle name="Normal 5 2 2 2 2 2 2 2 3 2" xfId="13648" xr:uid="{5D6BA521-34EE-4FA6-BBA0-D778BF6ADF7C}"/>
    <cellStyle name="Normal 5 2 2 2 2 2 2 2 4" xfId="9430" xr:uid="{EB31A078-E34B-4326-B361-44AE6EA29F1F}"/>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21E06B39-97DE-4462-B766-7978B63ABEEF}"/>
    <cellStyle name="Normal 5 2 2 2 2 2 2 3 2 3" xfId="11988" xr:uid="{D65C05AC-E23F-4FF9-96B5-4BC9117D0341}"/>
    <cellStyle name="Normal 5 2 2 2 2 2 2 3 3" xfId="5611" xr:uid="{00000000-0005-0000-0000-000002170000}"/>
    <cellStyle name="Normal 5 2 2 2 2 2 2 3 3 2" xfId="14061" xr:uid="{0DBFD298-B364-4B89-BB78-177A7A1B4FF6}"/>
    <cellStyle name="Normal 5 2 2 2 2 2 2 3 4" xfId="9843" xr:uid="{EB42B291-8343-4C37-AD74-D45FF9BEA2F2}"/>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1B0C26BD-CDAE-451A-82DD-EF18DCD3CE28}"/>
    <cellStyle name="Normal 5 2 2 2 2 2 2 4 2 3" xfId="12401" xr:uid="{885C3AC4-63CC-4C90-80EE-BB1514944B3F}"/>
    <cellStyle name="Normal 5 2 2 2 2 2 2 4 3" xfId="6024" xr:uid="{00000000-0005-0000-0000-000006170000}"/>
    <cellStyle name="Normal 5 2 2 2 2 2 2 4 3 2" xfId="14474" xr:uid="{EBFB2046-7736-472F-A985-111863A93618}"/>
    <cellStyle name="Normal 5 2 2 2 2 2 2 4 4" xfId="10256" xr:uid="{6A40485E-70AA-4F58-AAB6-D26B9AF0E20D}"/>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1C5BE5E4-DF35-45E7-A3B3-7DAAF76812A8}"/>
    <cellStyle name="Normal 5 2 2 2 2 2 2 5 2 3" xfId="12814" xr:uid="{B539483E-D977-4B13-97DC-313507986BAD}"/>
    <cellStyle name="Normal 5 2 2 2 2 2 2 5 3" xfId="6437" xr:uid="{00000000-0005-0000-0000-00000A170000}"/>
    <cellStyle name="Normal 5 2 2 2 2 2 2 5 3 2" xfId="14887" xr:uid="{24684A9A-1BAC-497A-8E78-2652591DB060}"/>
    <cellStyle name="Normal 5 2 2 2 2 2 2 5 4" xfId="10669" xr:uid="{6A2F0FE7-4704-4144-9DE1-AF679E71E432}"/>
    <cellStyle name="Normal 5 2 2 2 2 2 2 6" xfId="2567" xr:uid="{00000000-0005-0000-0000-00000B170000}"/>
    <cellStyle name="Normal 5 2 2 2 2 2 2 6 2" xfId="6850" xr:uid="{00000000-0005-0000-0000-00000C170000}"/>
    <cellStyle name="Normal 5 2 2 2 2 2 2 6 2 2" xfId="15300" xr:uid="{AF25CC54-18D9-4605-9B2D-EF7EDE54733C}"/>
    <cellStyle name="Normal 5 2 2 2 2 2 2 6 3" xfId="11082" xr:uid="{DE08C502-91F3-4233-BC81-39CC1BCF4E26}"/>
    <cellStyle name="Normal 5 2 2 2 2 2 2 7" xfId="4785" xr:uid="{00000000-0005-0000-0000-00000D170000}"/>
    <cellStyle name="Normal 5 2 2 2 2 2 2 7 2" xfId="13235" xr:uid="{91EFFC37-5629-4826-8B5B-C5BC46EDBA4F}"/>
    <cellStyle name="Normal 5 2 2 2 2 2 2 8" xfId="9017" xr:uid="{3FD8541E-609C-4EC4-8F01-C38785C34BED}"/>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69216FE4-A8C1-464B-A8B1-73A1B448D641}"/>
    <cellStyle name="Normal 5 2 2 2 2 2 3 2 3" xfId="11574" xr:uid="{71D3E29D-9394-48CD-87FA-9527A1C4D422}"/>
    <cellStyle name="Normal 5 2 2 2 2 2 3 3" xfId="5197" xr:uid="{00000000-0005-0000-0000-000011170000}"/>
    <cellStyle name="Normal 5 2 2 2 2 2 3 3 2" xfId="13647" xr:uid="{2E9FAF22-A83A-4942-A9AF-1E5EA362FA1E}"/>
    <cellStyle name="Normal 5 2 2 2 2 2 3 4" xfId="9429" xr:uid="{CD62610E-4726-43FA-8E74-5ADA30E0AA88}"/>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43207F13-6C76-4A10-8A7D-151FB674749A}"/>
    <cellStyle name="Normal 5 2 2 2 2 2 4 2 3" xfId="11987" xr:uid="{2C374358-DB91-4AB7-A7DC-48BBFEC3F7BD}"/>
    <cellStyle name="Normal 5 2 2 2 2 2 4 3" xfId="5610" xr:uid="{00000000-0005-0000-0000-000015170000}"/>
    <cellStyle name="Normal 5 2 2 2 2 2 4 3 2" xfId="14060" xr:uid="{EF05CCE3-7822-413F-B4C1-90D061A672B8}"/>
    <cellStyle name="Normal 5 2 2 2 2 2 4 4" xfId="9842" xr:uid="{50FC24D1-4C9F-4190-A4A0-D7378E025361}"/>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0D0BDEBB-3DC3-475A-BA89-ECB7D3A06ED5}"/>
    <cellStyle name="Normal 5 2 2 2 2 2 5 2 3" xfId="12400" xr:uid="{434F4B62-0AC0-446E-BB66-734986F8368F}"/>
    <cellStyle name="Normal 5 2 2 2 2 2 5 3" xfId="6023" xr:uid="{00000000-0005-0000-0000-000019170000}"/>
    <cellStyle name="Normal 5 2 2 2 2 2 5 3 2" xfId="14473" xr:uid="{445F270B-BAA1-45F1-9F45-3FF422980357}"/>
    <cellStyle name="Normal 5 2 2 2 2 2 5 4" xfId="10255" xr:uid="{B2873565-1E3B-4E5A-B309-36DB20BABD05}"/>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73F7DCD1-FC48-4746-ADD4-293C5BC64ED8}"/>
    <cellStyle name="Normal 5 2 2 2 2 2 6 2 3" xfId="12813" xr:uid="{BA3A873C-E4E5-4396-8BEF-F891D2170296}"/>
    <cellStyle name="Normal 5 2 2 2 2 2 6 3" xfId="6436" xr:uid="{00000000-0005-0000-0000-00001D170000}"/>
    <cellStyle name="Normal 5 2 2 2 2 2 6 3 2" xfId="14886" xr:uid="{9F69F333-4D48-4F29-835D-8279306C0C8F}"/>
    <cellStyle name="Normal 5 2 2 2 2 2 6 4" xfId="10668" xr:uid="{DBB937E0-4125-42BE-BBC9-B966B100F405}"/>
    <cellStyle name="Normal 5 2 2 2 2 2 7" xfId="2566" xr:uid="{00000000-0005-0000-0000-00001E170000}"/>
    <cellStyle name="Normal 5 2 2 2 2 2 7 2" xfId="6849" xr:uid="{00000000-0005-0000-0000-00001F170000}"/>
    <cellStyle name="Normal 5 2 2 2 2 2 7 2 2" xfId="15299" xr:uid="{002ADBE9-F763-4316-B0D4-F20CFA6E0AB1}"/>
    <cellStyle name="Normal 5 2 2 2 2 2 7 3" xfId="11081" xr:uid="{85943141-FDFC-4DD4-B79C-2F9168E22F93}"/>
    <cellStyle name="Normal 5 2 2 2 2 2 8" xfId="4784" xr:uid="{00000000-0005-0000-0000-000020170000}"/>
    <cellStyle name="Normal 5 2 2 2 2 2 8 2" xfId="13234" xr:uid="{484C4B59-DA31-47C6-8A35-EC90A667A0E5}"/>
    <cellStyle name="Normal 5 2 2 2 2 2 9" xfId="9016" xr:uid="{BF07DB37-CDA1-4F08-9E0D-B49455E21AF6}"/>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4E2AE494-CA6F-47D0-9F8B-885A703CCD20}"/>
    <cellStyle name="Normal 5 2 2 2 2 3 2 2 3" xfId="11576" xr:uid="{FC4ED832-611C-421C-B331-8ACF5A5ADBC8}"/>
    <cellStyle name="Normal 5 2 2 2 2 3 2 3" xfId="5199" xr:uid="{00000000-0005-0000-0000-000025170000}"/>
    <cellStyle name="Normal 5 2 2 2 2 3 2 3 2" xfId="13649" xr:uid="{99DD59E9-D3A0-45EE-861B-995585742E67}"/>
    <cellStyle name="Normal 5 2 2 2 2 3 2 4" xfId="9431" xr:uid="{D5212B86-1E7F-44A8-8FAE-2813BBBD8CAD}"/>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2B6DEB7F-797F-4D6A-B183-E7842659AD13}"/>
    <cellStyle name="Normal 5 2 2 2 2 3 3 2 3" xfId="11989" xr:uid="{6D5F97E2-9929-459B-9AEF-AF6E99F2E43F}"/>
    <cellStyle name="Normal 5 2 2 2 2 3 3 3" xfId="5612" xr:uid="{00000000-0005-0000-0000-000029170000}"/>
    <cellStyle name="Normal 5 2 2 2 2 3 3 3 2" xfId="14062" xr:uid="{EF1C1C75-BD31-4945-8F8B-C23F2B43F0B4}"/>
    <cellStyle name="Normal 5 2 2 2 2 3 3 4" xfId="9844" xr:uid="{801AE5CF-F567-467A-B1D8-7A1CA804B79F}"/>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CFADC5D0-2E5A-425B-8E9F-BC0186754ABB}"/>
    <cellStyle name="Normal 5 2 2 2 2 3 4 2 3" xfId="12402" xr:uid="{0C569811-1964-425B-9550-A2F5E04C7F0C}"/>
    <cellStyle name="Normal 5 2 2 2 2 3 4 3" xfId="6025" xr:uid="{00000000-0005-0000-0000-00002D170000}"/>
    <cellStyle name="Normal 5 2 2 2 2 3 4 3 2" xfId="14475" xr:uid="{16A8B90B-3246-4C33-810A-F2E38D7EE665}"/>
    <cellStyle name="Normal 5 2 2 2 2 3 4 4" xfId="10257" xr:uid="{0E587068-5726-414B-8D07-8AB50B71F017}"/>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1B0C6CDC-BA69-4170-BC76-0F06FCC4475E}"/>
    <cellStyle name="Normal 5 2 2 2 2 3 5 2 3" xfId="12815" xr:uid="{8B05894A-48A2-4FC3-9810-76A8D726B454}"/>
    <cellStyle name="Normal 5 2 2 2 2 3 5 3" xfId="6438" xr:uid="{00000000-0005-0000-0000-000031170000}"/>
    <cellStyle name="Normal 5 2 2 2 2 3 5 3 2" xfId="14888" xr:uid="{2EA4F254-172D-468A-89D2-11AD8174781C}"/>
    <cellStyle name="Normal 5 2 2 2 2 3 5 4" xfId="10670" xr:uid="{F646FDFD-BDD2-4A53-AB89-8D7997B9E6BE}"/>
    <cellStyle name="Normal 5 2 2 2 2 3 6" xfId="2568" xr:uid="{00000000-0005-0000-0000-000032170000}"/>
    <cellStyle name="Normal 5 2 2 2 2 3 6 2" xfId="6851" xr:uid="{00000000-0005-0000-0000-000033170000}"/>
    <cellStyle name="Normal 5 2 2 2 2 3 6 2 2" xfId="15301" xr:uid="{B4ACD3E0-380D-43D8-B164-D1580B6BC3CC}"/>
    <cellStyle name="Normal 5 2 2 2 2 3 6 3" xfId="11083" xr:uid="{F31BA0CB-BEB6-43E1-9EBF-4CB24DB5D3A1}"/>
    <cellStyle name="Normal 5 2 2 2 2 3 7" xfId="4786" xr:uid="{00000000-0005-0000-0000-000034170000}"/>
    <cellStyle name="Normal 5 2 2 2 2 3 7 2" xfId="13236" xr:uid="{D75211E6-1EDF-45C8-B7C3-D39E68C658BB}"/>
    <cellStyle name="Normal 5 2 2 2 2 3 8" xfId="9018" xr:uid="{FD45EC35-86DA-493A-8856-64A3FB7A65C1}"/>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EA1D2A2E-6608-4C71-AA42-3B89A9EB8F3E}"/>
    <cellStyle name="Normal 5 2 2 2 2 4 2 3" xfId="11573" xr:uid="{671E8BF4-89F9-4215-9C81-9AC017A5E10D}"/>
    <cellStyle name="Normal 5 2 2 2 2 4 3" xfId="5196" xr:uid="{00000000-0005-0000-0000-000038170000}"/>
    <cellStyle name="Normal 5 2 2 2 2 4 3 2" xfId="13646" xr:uid="{633CEE20-4959-4A70-8540-46295BBE4FCF}"/>
    <cellStyle name="Normal 5 2 2 2 2 4 4" xfId="9428" xr:uid="{51730AEF-0DE2-4C1C-87E7-AB6AB5B3D552}"/>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BF16959D-1B93-4B3D-B0D7-5C9021AF7652}"/>
    <cellStyle name="Normal 5 2 2 2 2 5 2 3" xfId="11986" xr:uid="{52F9BCFC-EF3A-460E-847C-E0BA986889E3}"/>
    <cellStyle name="Normal 5 2 2 2 2 5 3" xfId="5609" xr:uid="{00000000-0005-0000-0000-00003C170000}"/>
    <cellStyle name="Normal 5 2 2 2 2 5 3 2" xfId="14059" xr:uid="{560F92FC-ADCB-4831-9216-C9432DB0B818}"/>
    <cellStyle name="Normal 5 2 2 2 2 5 4" xfId="9841" xr:uid="{DBF8BB0B-9702-4EEF-BAF1-6853E9831268}"/>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73F72A8A-9ED0-4459-BF5A-D62CCCCE6ACC}"/>
    <cellStyle name="Normal 5 2 2 2 2 6 2 3" xfId="12399" xr:uid="{9504C952-E205-4655-B6E1-191B02AB1500}"/>
    <cellStyle name="Normal 5 2 2 2 2 6 3" xfId="6022" xr:uid="{00000000-0005-0000-0000-000040170000}"/>
    <cellStyle name="Normal 5 2 2 2 2 6 3 2" xfId="14472" xr:uid="{0A341900-0451-4F6D-99D2-D8106CC4AE39}"/>
    <cellStyle name="Normal 5 2 2 2 2 6 4" xfId="10254" xr:uid="{A683468A-E74D-4FAE-9213-00D19E6DF803}"/>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95B7409C-D522-4F0A-A7F2-0879D8D978DE}"/>
    <cellStyle name="Normal 5 2 2 2 2 7 2 3" xfId="12812" xr:uid="{521B5016-F03F-41C0-9D77-279096ADB419}"/>
    <cellStyle name="Normal 5 2 2 2 2 7 3" xfId="6435" xr:uid="{00000000-0005-0000-0000-000044170000}"/>
    <cellStyle name="Normal 5 2 2 2 2 7 3 2" xfId="14885" xr:uid="{6751E1E7-CE56-4D02-997E-7B379C060798}"/>
    <cellStyle name="Normal 5 2 2 2 2 7 4" xfId="10667" xr:uid="{0417BFEA-F5F6-4BF8-BA1B-D66C8CAFE02B}"/>
    <cellStyle name="Normal 5 2 2 2 2 8" xfId="2565" xr:uid="{00000000-0005-0000-0000-000045170000}"/>
    <cellStyle name="Normal 5 2 2 2 2 8 2" xfId="6848" xr:uid="{00000000-0005-0000-0000-000046170000}"/>
    <cellStyle name="Normal 5 2 2 2 2 8 2 2" xfId="15298" xr:uid="{19459BFC-87A6-4DD6-9F67-DD332AE50C67}"/>
    <cellStyle name="Normal 5 2 2 2 2 8 3" xfId="11080" xr:uid="{55FD0261-E621-41A7-99A5-003222218ED8}"/>
    <cellStyle name="Normal 5 2 2 2 2 9" xfId="4783" xr:uid="{00000000-0005-0000-0000-000047170000}"/>
    <cellStyle name="Normal 5 2 2 2 2 9 2" xfId="13233" xr:uid="{AAF0153F-2CC4-44C0-A070-58E0A7993C29}"/>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02B946D7-3825-4E33-B0B5-A5A8774B1118}"/>
    <cellStyle name="Normal 5 2 2 2 3 2 2 2 3" xfId="11578" xr:uid="{45F3B506-8712-4701-9DCF-22B80D8696E4}"/>
    <cellStyle name="Normal 5 2 2 2 3 2 2 3" xfId="5201" xr:uid="{00000000-0005-0000-0000-00004D170000}"/>
    <cellStyle name="Normal 5 2 2 2 3 2 2 3 2" xfId="13651" xr:uid="{F4B853D7-C575-492A-831A-6114E80FCC3F}"/>
    <cellStyle name="Normal 5 2 2 2 3 2 2 4" xfId="9433" xr:uid="{17CAD2C6-4A6A-4947-9505-E19D38C7B2DF}"/>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3ED669B9-CB0B-46EA-8C1C-359203803B16}"/>
    <cellStyle name="Normal 5 2 2 2 3 2 3 2 3" xfId="11991" xr:uid="{7311A1F3-5DD5-45B6-A25F-2A3C10E28CEE}"/>
    <cellStyle name="Normal 5 2 2 2 3 2 3 3" xfId="5614" xr:uid="{00000000-0005-0000-0000-000051170000}"/>
    <cellStyle name="Normal 5 2 2 2 3 2 3 3 2" xfId="14064" xr:uid="{39B09BA0-3F2B-4FC8-8845-014568F3AB89}"/>
    <cellStyle name="Normal 5 2 2 2 3 2 3 4" xfId="9846" xr:uid="{0AE74432-3E58-4F2B-B885-35AA2C66175C}"/>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9C39528A-AFE3-4093-AD96-E82ED326054C}"/>
    <cellStyle name="Normal 5 2 2 2 3 2 4 2 3" xfId="12404" xr:uid="{E7EE2C88-88FB-48BB-B142-0D29728FE373}"/>
    <cellStyle name="Normal 5 2 2 2 3 2 4 3" xfId="6027" xr:uid="{00000000-0005-0000-0000-000055170000}"/>
    <cellStyle name="Normal 5 2 2 2 3 2 4 3 2" xfId="14477" xr:uid="{42ABBB8B-C052-4E1B-8736-45D7C42A997D}"/>
    <cellStyle name="Normal 5 2 2 2 3 2 4 4" xfId="10259" xr:uid="{E0201C30-7698-44B4-918B-0643B3AAFCFB}"/>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C26D08A7-8550-4D4D-B1AC-784208F991AA}"/>
    <cellStyle name="Normal 5 2 2 2 3 2 5 2 3" xfId="12817" xr:uid="{C6B2E8C6-72E0-4BB2-A401-F6FE6B4CE7F5}"/>
    <cellStyle name="Normal 5 2 2 2 3 2 5 3" xfId="6440" xr:uid="{00000000-0005-0000-0000-000059170000}"/>
    <cellStyle name="Normal 5 2 2 2 3 2 5 3 2" xfId="14890" xr:uid="{2A66FFC8-7529-4E3D-A43C-6995626B7BD5}"/>
    <cellStyle name="Normal 5 2 2 2 3 2 5 4" xfId="10672" xr:uid="{AA34DB35-1FC7-4B1C-8523-2FE2577E3509}"/>
    <cellStyle name="Normal 5 2 2 2 3 2 6" xfId="2570" xr:uid="{00000000-0005-0000-0000-00005A170000}"/>
    <cellStyle name="Normal 5 2 2 2 3 2 6 2" xfId="6853" xr:uid="{00000000-0005-0000-0000-00005B170000}"/>
    <cellStyle name="Normal 5 2 2 2 3 2 6 2 2" xfId="15303" xr:uid="{487F5B58-AE32-4E9D-AE72-1A0A057D3854}"/>
    <cellStyle name="Normal 5 2 2 2 3 2 6 3" xfId="11085" xr:uid="{1A2A0364-A31C-4F2E-A24F-95FF2C08A1FE}"/>
    <cellStyle name="Normal 5 2 2 2 3 2 7" xfId="4788" xr:uid="{00000000-0005-0000-0000-00005C170000}"/>
    <cellStyle name="Normal 5 2 2 2 3 2 7 2" xfId="13238" xr:uid="{13EFEF98-3454-4329-9F3F-094DAF7FF4EA}"/>
    <cellStyle name="Normal 5 2 2 2 3 2 8" xfId="9020" xr:uid="{223C26DD-34B1-495B-A024-4550E615D9C1}"/>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864C891F-FFEA-4DF9-B2A1-941201B46936}"/>
    <cellStyle name="Normal 5 2 2 2 3 3 2 3" xfId="11577" xr:uid="{F762B55A-B935-4F30-9478-86C228E21E63}"/>
    <cellStyle name="Normal 5 2 2 2 3 3 3" xfId="5200" xr:uid="{00000000-0005-0000-0000-000060170000}"/>
    <cellStyle name="Normal 5 2 2 2 3 3 3 2" xfId="13650" xr:uid="{062A3030-63C9-48DC-9B4C-ACE42AA50C13}"/>
    <cellStyle name="Normal 5 2 2 2 3 3 4" xfId="9432" xr:uid="{21AE3AF6-7ECB-4421-B59D-EC11029CBA26}"/>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72245A66-C5A9-4E0B-A407-28A22D59D85C}"/>
    <cellStyle name="Normal 5 2 2 2 3 4 2 3" xfId="11990" xr:uid="{7A892D27-BEF5-4282-AE2E-9DC2F43CB412}"/>
    <cellStyle name="Normal 5 2 2 2 3 4 3" xfId="5613" xr:uid="{00000000-0005-0000-0000-000064170000}"/>
    <cellStyle name="Normal 5 2 2 2 3 4 3 2" xfId="14063" xr:uid="{AC1F1400-F639-40C7-8FEE-F7C658612232}"/>
    <cellStyle name="Normal 5 2 2 2 3 4 4" xfId="9845" xr:uid="{13B6B534-6C4A-4745-AB07-57147DD338F2}"/>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17EC4521-BEC3-430C-9091-9EE9B767B303}"/>
    <cellStyle name="Normal 5 2 2 2 3 5 2 3" xfId="12403" xr:uid="{C4D9E7C4-6FDF-49F2-A6F4-831CAB846F7C}"/>
    <cellStyle name="Normal 5 2 2 2 3 5 3" xfId="6026" xr:uid="{00000000-0005-0000-0000-000068170000}"/>
    <cellStyle name="Normal 5 2 2 2 3 5 3 2" xfId="14476" xr:uid="{33AA1C4C-5D57-483C-8498-EE79739F3FE4}"/>
    <cellStyle name="Normal 5 2 2 2 3 5 4" xfId="10258" xr:uid="{BD3A00B3-DFAA-4479-AD17-8BC6829E77C2}"/>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A699C4BD-EAC1-433D-A96D-7513F1F5C57F}"/>
    <cellStyle name="Normal 5 2 2 2 3 6 2 3" xfId="12816" xr:uid="{77E37DE3-7223-4AD4-9FE3-095193B9D366}"/>
    <cellStyle name="Normal 5 2 2 2 3 6 3" xfId="6439" xr:uid="{00000000-0005-0000-0000-00006C170000}"/>
    <cellStyle name="Normal 5 2 2 2 3 6 3 2" xfId="14889" xr:uid="{9717097A-8513-4390-85E8-BBEF0E043EED}"/>
    <cellStyle name="Normal 5 2 2 2 3 6 4" xfId="10671" xr:uid="{8B8B1AA8-FE7C-40A5-9C7A-E77BD700598C}"/>
    <cellStyle name="Normal 5 2 2 2 3 7" xfId="2569" xr:uid="{00000000-0005-0000-0000-00006D170000}"/>
    <cellStyle name="Normal 5 2 2 2 3 7 2" xfId="6852" xr:uid="{00000000-0005-0000-0000-00006E170000}"/>
    <cellStyle name="Normal 5 2 2 2 3 7 2 2" xfId="15302" xr:uid="{36128BFC-C37A-425E-B50B-69DEA78C87E3}"/>
    <cellStyle name="Normal 5 2 2 2 3 7 3" xfId="11084" xr:uid="{9C2F8BBF-BE18-49B7-8117-5AD758B71115}"/>
    <cellStyle name="Normal 5 2 2 2 3 8" xfId="4787" xr:uid="{00000000-0005-0000-0000-00006F170000}"/>
    <cellStyle name="Normal 5 2 2 2 3 8 2" xfId="13237" xr:uid="{30CF4FDA-9EF2-4433-A7A8-6D66F3E06025}"/>
    <cellStyle name="Normal 5 2 2 2 3 9" xfId="9019" xr:uid="{17A6923D-BD72-44CE-974D-C6C3914DEABC}"/>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AE592CD9-AA68-4AE9-8A50-5A55734918FE}"/>
    <cellStyle name="Normal 5 2 2 2 4 2 2 3" xfId="11579" xr:uid="{1433F33F-71B3-4D18-940D-A70D31524D40}"/>
    <cellStyle name="Normal 5 2 2 2 4 2 3" xfId="5202" xr:uid="{00000000-0005-0000-0000-000074170000}"/>
    <cellStyle name="Normal 5 2 2 2 4 2 3 2" xfId="13652" xr:uid="{F730D9BB-E702-4083-964C-468CEE21BCA6}"/>
    <cellStyle name="Normal 5 2 2 2 4 2 4" xfId="9434" xr:uid="{07C3C883-8243-49C3-A407-81CDF7898C4F}"/>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3DE6E022-E53B-4C51-963B-AC86D7A89BE8}"/>
    <cellStyle name="Normal 5 2 2 2 4 3 2 3" xfId="11992" xr:uid="{53C937AB-A1C3-44C2-A496-0778EF909A3D}"/>
    <cellStyle name="Normal 5 2 2 2 4 3 3" xfId="5615" xr:uid="{00000000-0005-0000-0000-000078170000}"/>
    <cellStyle name="Normal 5 2 2 2 4 3 3 2" xfId="14065" xr:uid="{5B30ABE5-21C3-4D0B-A2F8-FC4663686B1E}"/>
    <cellStyle name="Normal 5 2 2 2 4 3 4" xfId="9847" xr:uid="{649F7EF7-EF66-4310-BCA2-8B3DED4B8F96}"/>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33F6D32F-99AE-4631-BC3D-9C8E30881BCD}"/>
    <cellStyle name="Normal 5 2 2 2 4 4 2 3" xfId="12405" xr:uid="{50C72ADE-D08C-455F-B7E0-00388CD4D284}"/>
    <cellStyle name="Normal 5 2 2 2 4 4 3" xfId="6028" xr:uid="{00000000-0005-0000-0000-00007C170000}"/>
    <cellStyle name="Normal 5 2 2 2 4 4 3 2" xfId="14478" xr:uid="{D88A90E8-9BAD-43A9-B7C8-F248C210BA7D}"/>
    <cellStyle name="Normal 5 2 2 2 4 4 4" xfId="10260" xr:uid="{DB43C2EA-8D8B-4717-AD73-D5CC55948114}"/>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A45E2F94-A497-45DC-84E0-55713BB954C9}"/>
    <cellStyle name="Normal 5 2 2 2 4 5 2 3" xfId="12818" xr:uid="{B4B02142-9475-496F-A5D4-12FA9C02C634}"/>
    <cellStyle name="Normal 5 2 2 2 4 5 3" xfId="6441" xr:uid="{00000000-0005-0000-0000-000080170000}"/>
    <cellStyle name="Normal 5 2 2 2 4 5 3 2" xfId="14891" xr:uid="{E3C9B5C9-DD21-4420-B09B-642F1FC045B5}"/>
    <cellStyle name="Normal 5 2 2 2 4 5 4" xfId="10673" xr:uid="{A00953B5-B46A-4B7F-9CE0-5B2955D2FA88}"/>
    <cellStyle name="Normal 5 2 2 2 4 6" xfId="2571" xr:uid="{00000000-0005-0000-0000-000081170000}"/>
    <cellStyle name="Normal 5 2 2 2 4 6 2" xfId="6854" xr:uid="{00000000-0005-0000-0000-000082170000}"/>
    <cellStyle name="Normal 5 2 2 2 4 6 2 2" xfId="15304" xr:uid="{5D8E41F2-C330-44B3-9D2A-92AE5CB4D4D7}"/>
    <cellStyle name="Normal 5 2 2 2 4 6 3" xfId="11086" xr:uid="{317A351D-5B97-41BF-B35C-459254D00CA7}"/>
    <cellStyle name="Normal 5 2 2 2 4 7" xfId="4789" xr:uid="{00000000-0005-0000-0000-000083170000}"/>
    <cellStyle name="Normal 5 2 2 2 4 7 2" xfId="13239" xr:uid="{9336328C-02C0-40F6-9F61-C0A7AC52B60B}"/>
    <cellStyle name="Normal 5 2 2 2 4 8" xfId="9021" xr:uid="{FE1090BD-2D3F-4301-BAF0-80BF3C0DDF4D}"/>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93FBD671-D722-495D-B468-2BBAE0743926}"/>
    <cellStyle name="Normal 5 2 2 2 5 2 3" xfId="11572" xr:uid="{C7234776-58C8-4714-B194-B525B08156C7}"/>
    <cellStyle name="Normal 5 2 2 2 5 3" xfId="5195" xr:uid="{00000000-0005-0000-0000-000087170000}"/>
    <cellStyle name="Normal 5 2 2 2 5 3 2" xfId="13645" xr:uid="{62592D03-3F4D-4494-B163-996350C166D6}"/>
    <cellStyle name="Normal 5 2 2 2 5 4" xfId="9427" xr:uid="{4BC23336-1982-40ED-995A-799E36EB67DB}"/>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7982753A-E698-44B0-B680-BBE4EF6C015C}"/>
    <cellStyle name="Normal 5 2 2 2 6 2 3" xfId="11985" xr:uid="{2D37D9B5-5D95-4187-A711-D55D34DD6E41}"/>
    <cellStyle name="Normal 5 2 2 2 6 3" xfId="5608" xr:uid="{00000000-0005-0000-0000-00008B170000}"/>
    <cellStyle name="Normal 5 2 2 2 6 3 2" xfId="14058" xr:uid="{6A70774D-0B14-46F3-B6AC-C59D6636AD84}"/>
    <cellStyle name="Normal 5 2 2 2 6 4" xfId="9840" xr:uid="{D019300F-8B65-4EA1-B896-DC92CF0B8CA2}"/>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BDDEB002-98DC-45CD-9D09-9A5F12483576}"/>
    <cellStyle name="Normal 5 2 2 2 7 2 3" xfId="12398" xr:uid="{4E52B783-0032-41F9-BAC0-EBD187A4C57A}"/>
    <cellStyle name="Normal 5 2 2 2 7 3" xfId="6021" xr:uid="{00000000-0005-0000-0000-00008F170000}"/>
    <cellStyle name="Normal 5 2 2 2 7 3 2" xfId="14471" xr:uid="{920D3B64-AFDA-4E01-810C-B80A5452ABAB}"/>
    <cellStyle name="Normal 5 2 2 2 7 4" xfId="10253" xr:uid="{B8F8BCB3-DE3E-4D7A-A32D-734D96F7181A}"/>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B852E0B9-A010-4403-9ACA-1B032E7F3E37}"/>
    <cellStyle name="Normal 5 2 2 2 8 2 3" xfId="12811" xr:uid="{A39A3974-052F-4999-BDB6-9869F57FCA25}"/>
    <cellStyle name="Normal 5 2 2 2 8 3" xfId="6434" xr:uid="{00000000-0005-0000-0000-000093170000}"/>
    <cellStyle name="Normal 5 2 2 2 8 3 2" xfId="14884" xr:uid="{5DEF2295-A053-41C5-B1C5-4759D39F68BA}"/>
    <cellStyle name="Normal 5 2 2 2 8 4" xfId="10666" xr:uid="{A39F365A-2BA8-4BF2-8204-D911F10B9323}"/>
    <cellStyle name="Normal 5 2 2 2 9" xfId="2564" xr:uid="{00000000-0005-0000-0000-000094170000}"/>
    <cellStyle name="Normal 5 2 2 2 9 2" xfId="6847" xr:uid="{00000000-0005-0000-0000-000095170000}"/>
    <cellStyle name="Normal 5 2 2 2 9 2 2" xfId="15297" xr:uid="{1103549A-ED2E-42CD-9139-5B455B29E0DF}"/>
    <cellStyle name="Normal 5 2 2 2 9 3" xfId="11079" xr:uid="{18665440-2AF9-4DCE-9B28-08F9A5E81A2A}"/>
    <cellStyle name="Normal 5 2 2 3" xfId="417" xr:uid="{00000000-0005-0000-0000-000096170000}"/>
    <cellStyle name="Normal 5 2 2 3 10" xfId="9022" xr:uid="{FDAC33C9-3B5F-4054-85A9-C4B868BAE98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6D3090CB-F31C-4202-A840-AA783B7B37D6}"/>
    <cellStyle name="Normal 5 2 2 3 2 2 2 2 3" xfId="11582" xr:uid="{0BB5D9AA-265E-4A35-96EC-41433A6C5C5E}"/>
    <cellStyle name="Normal 5 2 2 3 2 2 2 3" xfId="5205" xr:uid="{00000000-0005-0000-0000-00009C170000}"/>
    <cellStyle name="Normal 5 2 2 3 2 2 2 3 2" xfId="13655" xr:uid="{3EC3B909-9938-4574-8135-1408606FEA64}"/>
    <cellStyle name="Normal 5 2 2 3 2 2 2 4" xfId="9437" xr:uid="{63486355-C463-4477-8C73-8CAAE0969487}"/>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C90D58A4-9965-48A6-A38B-FE75AD78BE07}"/>
    <cellStyle name="Normal 5 2 2 3 2 2 3 2 3" xfId="11995" xr:uid="{0972180F-6C33-49F8-ADEF-FEDFBD4661F5}"/>
    <cellStyle name="Normal 5 2 2 3 2 2 3 3" xfId="5618" xr:uid="{00000000-0005-0000-0000-0000A0170000}"/>
    <cellStyle name="Normal 5 2 2 3 2 2 3 3 2" xfId="14068" xr:uid="{4F9571A8-46B6-49D6-BD69-FEA170A068E3}"/>
    <cellStyle name="Normal 5 2 2 3 2 2 3 4" xfId="9850" xr:uid="{C6C84DB2-3B78-4591-B125-6D7A1CBDE4C5}"/>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552E3D67-9663-45B2-BDD9-602683212781}"/>
    <cellStyle name="Normal 5 2 2 3 2 2 4 2 3" xfId="12408" xr:uid="{74B94C56-C4B2-4CBF-8154-3569E5106A0D}"/>
    <cellStyle name="Normal 5 2 2 3 2 2 4 3" xfId="6031" xr:uid="{00000000-0005-0000-0000-0000A4170000}"/>
    <cellStyle name="Normal 5 2 2 3 2 2 4 3 2" xfId="14481" xr:uid="{B7490B76-951E-47DC-8DAC-1077EBC8903E}"/>
    <cellStyle name="Normal 5 2 2 3 2 2 4 4" xfId="10263" xr:uid="{4FEF3D58-87A5-4ACB-A62C-FA260F3E0037}"/>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58F14B32-B87B-4448-9F8F-B882DB671BED}"/>
    <cellStyle name="Normal 5 2 2 3 2 2 5 2 3" xfId="12821" xr:uid="{FE7EE172-DF87-4A19-9123-64748C3107F2}"/>
    <cellStyle name="Normal 5 2 2 3 2 2 5 3" xfId="6444" xr:uid="{00000000-0005-0000-0000-0000A8170000}"/>
    <cellStyle name="Normal 5 2 2 3 2 2 5 3 2" xfId="14894" xr:uid="{DE27038C-349D-4374-9EA3-D62DE5D54091}"/>
    <cellStyle name="Normal 5 2 2 3 2 2 5 4" xfId="10676" xr:uid="{9304108C-13D5-4E3A-984D-D6ECBE7DE253}"/>
    <cellStyle name="Normal 5 2 2 3 2 2 6" xfId="2574" xr:uid="{00000000-0005-0000-0000-0000A9170000}"/>
    <cellStyle name="Normal 5 2 2 3 2 2 6 2" xfId="6857" xr:uid="{00000000-0005-0000-0000-0000AA170000}"/>
    <cellStyle name="Normal 5 2 2 3 2 2 6 2 2" xfId="15307" xr:uid="{9AD52F65-EB92-4691-814E-4114ECDC092F}"/>
    <cellStyle name="Normal 5 2 2 3 2 2 6 3" xfId="11089" xr:uid="{73734AC0-AE46-4A9B-A106-E338C23544BE}"/>
    <cellStyle name="Normal 5 2 2 3 2 2 7" xfId="4792" xr:uid="{00000000-0005-0000-0000-0000AB170000}"/>
    <cellStyle name="Normal 5 2 2 3 2 2 7 2" xfId="13242" xr:uid="{6B8D5D50-B37B-4A4B-A325-0A5B145B57B6}"/>
    <cellStyle name="Normal 5 2 2 3 2 2 8" xfId="9024" xr:uid="{12C18D7C-42D4-47E7-8251-D4F4B72D7778}"/>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E6F7E26D-EE8E-450F-9DE6-CA9D86D67818}"/>
    <cellStyle name="Normal 5 2 2 3 2 3 2 3" xfId="11581" xr:uid="{9F46C7DE-6952-4B06-8096-9C5F52575118}"/>
    <cellStyle name="Normal 5 2 2 3 2 3 3" xfId="5204" xr:uid="{00000000-0005-0000-0000-0000AF170000}"/>
    <cellStyle name="Normal 5 2 2 3 2 3 3 2" xfId="13654" xr:uid="{908201A4-3E27-4B3C-90DD-7E82BC4FDEA8}"/>
    <cellStyle name="Normal 5 2 2 3 2 3 4" xfId="9436" xr:uid="{3E171FDD-5BA1-4902-BC79-92D768D699DB}"/>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7E294AA4-1391-49FC-93A5-F9699FA2D45E}"/>
    <cellStyle name="Normal 5 2 2 3 2 4 2 3" xfId="11994" xr:uid="{931A9C12-776D-4879-8BC4-19ACC4574D68}"/>
    <cellStyle name="Normal 5 2 2 3 2 4 3" xfId="5617" xr:uid="{00000000-0005-0000-0000-0000B3170000}"/>
    <cellStyle name="Normal 5 2 2 3 2 4 3 2" xfId="14067" xr:uid="{01EBDF28-8A51-4806-906B-87938CB939E3}"/>
    <cellStyle name="Normal 5 2 2 3 2 4 4" xfId="9849" xr:uid="{7FF47CBC-F4FD-4B88-A307-6E71A60B705A}"/>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C3661EA5-54C5-4311-9303-A96BF543952C}"/>
    <cellStyle name="Normal 5 2 2 3 2 5 2 3" xfId="12407" xr:uid="{8124C2B8-2AD9-4046-A358-D69CBAE639AF}"/>
    <cellStyle name="Normal 5 2 2 3 2 5 3" xfId="6030" xr:uid="{00000000-0005-0000-0000-0000B7170000}"/>
    <cellStyle name="Normal 5 2 2 3 2 5 3 2" xfId="14480" xr:uid="{E5A6966B-233E-45E2-AE09-9F2B74994963}"/>
    <cellStyle name="Normal 5 2 2 3 2 5 4" xfId="10262" xr:uid="{C3AC1DC1-4F33-4D5E-B81D-AFFF08860DE8}"/>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1DD8C5A3-2156-4266-9403-0A4E38A3999B}"/>
    <cellStyle name="Normal 5 2 2 3 2 6 2 3" xfId="12820" xr:uid="{7B8E3168-DF29-4482-A77B-30C44AC3BEFA}"/>
    <cellStyle name="Normal 5 2 2 3 2 6 3" xfId="6443" xr:uid="{00000000-0005-0000-0000-0000BB170000}"/>
    <cellStyle name="Normal 5 2 2 3 2 6 3 2" xfId="14893" xr:uid="{397AD0C7-49D3-49FE-B7FD-28F8F3EB6901}"/>
    <cellStyle name="Normal 5 2 2 3 2 6 4" xfId="10675" xr:uid="{040706EC-0DBB-48BF-8C58-4169032D3F58}"/>
    <cellStyle name="Normal 5 2 2 3 2 7" xfId="2573" xr:uid="{00000000-0005-0000-0000-0000BC170000}"/>
    <cellStyle name="Normal 5 2 2 3 2 7 2" xfId="6856" xr:uid="{00000000-0005-0000-0000-0000BD170000}"/>
    <cellStyle name="Normal 5 2 2 3 2 7 2 2" xfId="15306" xr:uid="{63439F1F-25BB-4E4C-9C73-1240AF78F240}"/>
    <cellStyle name="Normal 5 2 2 3 2 7 3" xfId="11088" xr:uid="{DA555A75-53A2-4B41-A54F-8F3D422C159E}"/>
    <cellStyle name="Normal 5 2 2 3 2 8" xfId="4791" xr:uid="{00000000-0005-0000-0000-0000BE170000}"/>
    <cellStyle name="Normal 5 2 2 3 2 8 2" xfId="13241" xr:uid="{9AFAFE6D-843E-4682-BDC2-8F0A02EDAC26}"/>
    <cellStyle name="Normal 5 2 2 3 2 9" xfId="9023" xr:uid="{FB4E0246-B485-49B0-8BC7-0CE0D953422E}"/>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589FF8F5-E8D4-4817-BB47-65807EA8E9B5}"/>
    <cellStyle name="Normal 5 2 2 3 3 2 2 3" xfId="11583" xr:uid="{F831C997-8369-4882-8D0F-DE4D52AEE2E2}"/>
    <cellStyle name="Normal 5 2 2 3 3 2 3" xfId="5206" xr:uid="{00000000-0005-0000-0000-0000C3170000}"/>
    <cellStyle name="Normal 5 2 2 3 3 2 3 2" xfId="13656" xr:uid="{8E3BA93A-D57B-4DD7-B8E5-CE294C16ECE1}"/>
    <cellStyle name="Normal 5 2 2 3 3 2 4" xfId="9438" xr:uid="{4690E2E9-FE9C-4819-9C63-6AE8081CB9BE}"/>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314667A6-6F9A-4F87-92BA-92B3AB50EAB2}"/>
    <cellStyle name="Normal 5 2 2 3 3 3 2 3" xfId="11996" xr:uid="{B6932A1A-431B-4B56-91F3-C58141F4C3DF}"/>
    <cellStyle name="Normal 5 2 2 3 3 3 3" xfId="5619" xr:uid="{00000000-0005-0000-0000-0000C7170000}"/>
    <cellStyle name="Normal 5 2 2 3 3 3 3 2" xfId="14069" xr:uid="{59605B77-5031-41FD-86F6-1AA5A4595417}"/>
    <cellStyle name="Normal 5 2 2 3 3 3 4" xfId="9851" xr:uid="{32EB2CB3-B8AA-4546-8EDA-CB67A22E7EE7}"/>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CC62D3D0-97FF-436C-95BA-65770EE1B82E}"/>
    <cellStyle name="Normal 5 2 2 3 3 4 2 3" xfId="12409" xr:uid="{1B9B97E8-A925-480E-877F-93AB9B6B61FC}"/>
    <cellStyle name="Normal 5 2 2 3 3 4 3" xfId="6032" xr:uid="{00000000-0005-0000-0000-0000CB170000}"/>
    <cellStyle name="Normal 5 2 2 3 3 4 3 2" xfId="14482" xr:uid="{8ECC6944-32AA-4AD4-A184-7B038AB60686}"/>
    <cellStyle name="Normal 5 2 2 3 3 4 4" xfId="10264" xr:uid="{1423A46D-DA54-48FE-9CEE-B40FCD2EDD1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FA1B8563-2D41-4361-9221-0C02C8EFD3C6}"/>
    <cellStyle name="Normal 5 2 2 3 3 5 2 3" xfId="12822" xr:uid="{988C2BAF-1750-464F-BD73-82D988974CE4}"/>
    <cellStyle name="Normal 5 2 2 3 3 5 3" xfId="6445" xr:uid="{00000000-0005-0000-0000-0000CF170000}"/>
    <cellStyle name="Normal 5 2 2 3 3 5 3 2" xfId="14895" xr:uid="{99711557-BD66-44D0-933D-D37DD5F6AC94}"/>
    <cellStyle name="Normal 5 2 2 3 3 5 4" xfId="10677" xr:uid="{E7AA8766-7A43-439F-AE43-B6E595782B3E}"/>
    <cellStyle name="Normal 5 2 2 3 3 6" xfId="2575" xr:uid="{00000000-0005-0000-0000-0000D0170000}"/>
    <cellStyle name="Normal 5 2 2 3 3 6 2" xfId="6858" xr:uid="{00000000-0005-0000-0000-0000D1170000}"/>
    <cellStyle name="Normal 5 2 2 3 3 6 2 2" xfId="15308" xr:uid="{8F72D904-5677-43F1-9A69-6E4774802FBC}"/>
    <cellStyle name="Normal 5 2 2 3 3 6 3" xfId="11090" xr:uid="{FD4629CD-6EC2-4087-8A24-C8A3EC177417}"/>
    <cellStyle name="Normal 5 2 2 3 3 7" xfId="4793" xr:uid="{00000000-0005-0000-0000-0000D2170000}"/>
    <cellStyle name="Normal 5 2 2 3 3 7 2" xfId="13243" xr:uid="{AADEE301-97BC-453E-BBCD-07ADEC5E35C4}"/>
    <cellStyle name="Normal 5 2 2 3 3 8" xfId="9025" xr:uid="{7B8E16AE-E472-45B9-81FE-1A5893C50900}"/>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5D7F7DB5-6C74-40FF-B306-F5969D51F79D}"/>
    <cellStyle name="Normal 5 2 2 3 4 2 3" xfId="11580" xr:uid="{6E5A8D89-00A9-43FF-9548-2741F157A35A}"/>
    <cellStyle name="Normal 5 2 2 3 4 3" xfId="5203" xr:uid="{00000000-0005-0000-0000-0000D6170000}"/>
    <cellStyle name="Normal 5 2 2 3 4 3 2" xfId="13653" xr:uid="{140D58A7-E3EB-41FB-B4D1-8CA9BE91C51B}"/>
    <cellStyle name="Normal 5 2 2 3 4 4" xfId="9435" xr:uid="{C1008CAD-E3F5-475A-843C-F4AE2FA80F16}"/>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6EC14FF7-81EB-4AF4-A42D-23D639D99E39}"/>
    <cellStyle name="Normal 5 2 2 3 5 2 3" xfId="11993" xr:uid="{5BCAB715-8B36-420B-BC96-184E390CE3A7}"/>
    <cellStyle name="Normal 5 2 2 3 5 3" xfId="5616" xr:uid="{00000000-0005-0000-0000-0000DA170000}"/>
    <cellStyle name="Normal 5 2 2 3 5 3 2" xfId="14066" xr:uid="{03197950-556D-4A16-83C1-0F344DEA450A}"/>
    <cellStyle name="Normal 5 2 2 3 5 4" xfId="9848" xr:uid="{12151B38-6499-45BD-AF0D-AD6C6953F17B}"/>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BA4B6707-F980-4507-B9AB-FA6E75F9A122}"/>
    <cellStyle name="Normal 5 2 2 3 6 2 3" xfId="12406" xr:uid="{CE0F612E-9E61-4B47-9F14-81045A48D488}"/>
    <cellStyle name="Normal 5 2 2 3 6 3" xfId="6029" xr:uid="{00000000-0005-0000-0000-0000DE170000}"/>
    <cellStyle name="Normal 5 2 2 3 6 3 2" xfId="14479" xr:uid="{5E121735-CC85-4208-A4C5-FE888E060AD5}"/>
    <cellStyle name="Normal 5 2 2 3 6 4" xfId="10261" xr:uid="{65E4FB61-F123-4168-96AD-151D185DF64E}"/>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F7940933-3ACB-4389-89D8-A7379CF0BF0E}"/>
    <cellStyle name="Normal 5 2 2 3 7 2 3" xfId="12819" xr:uid="{B65CB0D3-9ECB-449C-8807-F486B8654F9C}"/>
    <cellStyle name="Normal 5 2 2 3 7 3" xfId="6442" xr:uid="{00000000-0005-0000-0000-0000E2170000}"/>
    <cellStyle name="Normal 5 2 2 3 7 3 2" xfId="14892" xr:uid="{824789B6-CF92-411E-9D12-DFA1F32F6394}"/>
    <cellStyle name="Normal 5 2 2 3 7 4" xfId="10674" xr:uid="{3BA7D122-2E8F-43DF-9E63-078497DA782F}"/>
    <cellStyle name="Normal 5 2 2 3 8" xfId="2572" xr:uid="{00000000-0005-0000-0000-0000E3170000}"/>
    <cellStyle name="Normal 5 2 2 3 8 2" xfId="6855" xr:uid="{00000000-0005-0000-0000-0000E4170000}"/>
    <cellStyle name="Normal 5 2 2 3 8 2 2" xfId="15305" xr:uid="{9AAE6EBE-9FBC-4F87-8E5B-FB9B5DFE979A}"/>
    <cellStyle name="Normal 5 2 2 3 8 3" xfId="11087" xr:uid="{0D19B8A8-2333-4A27-8A85-CC5468EA2A16}"/>
    <cellStyle name="Normal 5 2 2 3 9" xfId="4790" xr:uid="{00000000-0005-0000-0000-0000E5170000}"/>
    <cellStyle name="Normal 5 2 2 3 9 2" xfId="13240" xr:uid="{808F43F4-7423-425F-9AFA-8D2989178E5E}"/>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1BE6B03D-EAAD-47E6-8898-6B987924BE86}"/>
    <cellStyle name="Normal 5 2 2 4 2 2 2 3" xfId="11585" xr:uid="{87768B0B-016B-40B3-B249-39ADB5536A3C}"/>
    <cellStyle name="Normal 5 2 2 4 2 2 3" xfId="5208" xr:uid="{00000000-0005-0000-0000-0000EB170000}"/>
    <cellStyle name="Normal 5 2 2 4 2 2 3 2" xfId="13658" xr:uid="{810029BA-F9DB-4C2E-B062-4F7A06479A42}"/>
    <cellStyle name="Normal 5 2 2 4 2 2 4" xfId="9440" xr:uid="{B6E955EA-FA9D-43F7-800E-E783FC1E4CAC}"/>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D44ECC9D-AB22-4B6E-9139-B2D94C6C64AF}"/>
    <cellStyle name="Normal 5 2 2 4 2 3 2 3" xfId="11998" xr:uid="{661369EE-D4AD-4C4B-9476-C43C0B9C7478}"/>
    <cellStyle name="Normal 5 2 2 4 2 3 3" xfId="5621" xr:uid="{00000000-0005-0000-0000-0000EF170000}"/>
    <cellStyle name="Normal 5 2 2 4 2 3 3 2" xfId="14071" xr:uid="{B7BB7A7E-8F49-4C53-B236-9AB0238352C1}"/>
    <cellStyle name="Normal 5 2 2 4 2 3 4" xfId="9853" xr:uid="{4287C7AF-D300-464C-A353-AED31CB826A2}"/>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D268DB6F-4D35-4130-9409-C49368212291}"/>
    <cellStyle name="Normal 5 2 2 4 2 4 2 3" xfId="12411" xr:uid="{2C6A228F-2133-47F5-B9CC-90920FDD880E}"/>
    <cellStyle name="Normal 5 2 2 4 2 4 3" xfId="6034" xr:uid="{00000000-0005-0000-0000-0000F3170000}"/>
    <cellStyle name="Normal 5 2 2 4 2 4 3 2" xfId="14484" xr:uid="{3B4B1792-5616-47FB-9946-A50BE12CC7B0}"/>
    <cellStyle name="Normal 5 2 2 4 2 4 4" xfId="10266" xr:uid="{7D228439-502B-4CBD-8E73-1C1D01F48317}"/>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FE041A00-F305-4861-8B83-05097561E59E}"/>
    <cellStyle name="Normal 5 2 2 4 2 5 2 3" xfId="12824" xr:uid="{D19C0695-108F-485B-A944-AAC6CFA2D1F3}"/>
    <cellStyle name="Normal 5 2 2 4 2 5 3" xfId="6447" xr:uid="{00000000-0005-0000-0000-0000F7170000}"/>
    <cellStyle name="Normal 5 2 2 4 2 5 3 2" xfId="14897" xr:uid="{FC36A50C-DD61-4D25-8E09-ACBE52D95379}"/>
    <cellStyle name="Normal 5 2 2 4 2 5 4" xfId="10679" xr:uid="{BB9E64CB-5D1B-443F-86FB-91D811857857}"/>
    <cellStyle name="Normal 5 2 2 4 2 6" xfId="2577" xr:uid="{00000000-0005-0000-0000-0000F8170000}"/>
    <cellStyle name="Normal 5 2 2 4 2 6 2" xfId="6860" xr:uid="{00000000-0005-0000-0000-0000F9170000}"/>
    <cellStyle name="Normal 5 2 2 4 2 6 2 2" xfId="15310" xr:uid="{A492C081-81AF-4777-9109-059350E78712}"/>
    <cellStyle name="Normal 5 2 2 4 2 6 3" xfId="11092" xr:uid="{41D209F5-ECAA-4FF3-8044-3D51E0690076}"/>
    <cellStyle name="Normal 5 2 2 4 2 7" xfId="4795" xr:uid="{00000000-0005-0000-0000-0000FA170000}"/>
    <cellStyle name="Normal 5 2 2 4 2 7 2" xfId="13245" xr:uid="{009277AC-06A4-4A6A-A10F-878EB89B5A98}"/>
    <cellStyle name="Normal 5 2 2 4 2 8" xfId="9027" xr:uid="{696B16A4-1822-4060-A9CF-82E234354538}"/>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8C4246BF-B5BF-400D-A671-248C4D39786D}"/>
    <cellStyle name="Normal 5 2 2 4 3 2 3" xfId="11584" xr:uid="{C3C515D3-F218-42B9-89FC-8C00316E8081}"/>
    <cellStyle name="Normal 5 2 2 4 3 3" xfId="5207" xr:uid="{00000000-0005-0000-0000-0000FE170000}"/>
    <cellStyle name="Normal 5 2 2 4 3 3 2" xfId="13657" xr:uid="{17671DCD-79B5-4A8F-A9FE-389CA32F1815}"/>
    <cellStyle name="Normal 5 2 2 4 3 4" xfId="9439" xr:uid="{4C9FC790-B0FE-4129-83BD-1D13BEEA1701}"/>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7435B91E-42CF-416C-9076-2BCE7DD30B87}"/>
    <cellStyle name="Normal 5 2 2 4 4 2 3" xfId="11997" xr:uid="{05031288-04E7-4293-8642-18D6CA4C621F}"/>
    <cellStyle name="Normal 5 2 2 4 4 3" xfId="5620" xr:uid="{00000000-0005-0000-0000-000002180000}"/>
    <cellStyle name="Normal 5 2 2 4 4 3 2" xfId="14070" xr:uid="{6458054E-19BE-4C3F-BA25-474B9ABE0534}"/>
    <cellStyle name="Normal 5 2 2 4 4 4" xfId="9852" xr:uid="{1A18FDCE-7D55-4F44-B3A6-996A7A85AF72}"/>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E49E91A7-CC24-4C82-8900-D693C3419BD1}"/>
    <cellStyle name="Normal 5 2 2 4 5 2 3" xfId="12410" xr:uid="{6749132F-C510-424B-ACFD-88F8FD6F5AF4}"/>
    <cellStyle name="Normal 5 2 2 4 5 3" xfId="6033" xr:uid="{00000000-0005-0000-0000-000006180000}"/>
    <cellStyle name="Normal 5 2 2 4 5 3 2" xfId="14483" xr:uid="{5E8A3016-7564-49C4-AFCF-4B30CE271DFB}"/>
    <cellStyle name="Normal 5 2 2 4 5 4" xfId="10265" xr:uid="{0027F15A-0500-459A-961C-268E43075E46}"/>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BD38E76C-490C-441E-A97D-C606CC7E56A7}"/>
    <cellStyle name="Normal 5 2 2 4 6 2 3" xfId="12823" xr:uid="{0E2BFA51-35E7-41C1-8C05-79B110AE7C36}"/>
    <cellStyle name="Normal 5 2 2 4 6 3" xfId="6446" xr:uid="{00000000-0005-0000-0000-00000A180000}"/>
    <cellStyle name="Normal 5 2 2 4 6 3 2" xfId="14896" xr:uid="{9E9DA795-BF06-48CD-A73C-E8210061F6B2}"/>
    <cellStyle name="Normal 5 2 2 4 6 4" xfId="10678" xr:uid="{9D1A3859-AA54-472C-BAD0-18BAAB3D1355}"/>
    <cellStyle name="Normal 5 2 2 4 7" xfId="2576" xr:uid="{00000000-0005-0000-0000-00000B180000}"/>
    <cellStyle name="Normal 5 2 2 4 7 2" xfId="6859" xr:uid="{00000000-0005-0000-0000-00000C180000}"/>
    <cellStyle name="Normal 5 2 2 4 7 2 2" xfId="15309" xr:uid="{6541BEBA-3F7D-427E-B247-3AC4C741EC65}"/>
    <cellStyle name="Normal 5 2 2 4 7 3" xfId="11091" xr:uid="{9699A603-D40E-469F-AB22-7C5DE31E7C96}"/>
    <cellStyle name="Normal 5 2 2 4 8" xfId="4794" xr:uid="{00000000-0005-0000-0000-00000D180000}"/>
    <cellStyle name="Normal 5 2 2 4 8 2" xfId="13244" xr:uid="{E1C1FEE9-AD49-472F-81EC-DF8C4E4C753A}"/>
    <cellStyle name="Normal 5 2 2 4 9" xfId="9026" xr:uid="{3A23E15A-1B86-49C5-8882-B68A6A1BB96C}"/>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26CDB9F0-A575-4AEE-9209-C954D0E43AFD}"/>
    <cellStyle name="Normal 5 2 2 5 2 2 3" xfId="11586" xr:uid="{BC1F9FC7-2D87-47E9-ACEA-56F06CAE6AD9}"/>
    <cellStyle name="Normal 5 2 2 5 2 3" xfId="5209" xr:uid="{00000000-0005-0000-0000-000012180000}"/>
    <cellStyle name="Normal 5 2 2 5 2 3 2" xfId="13659" xr:uid="{C7A33F9B-05A7-42AB-8DB6-A22FA3BFF009}"/>
    <cellStyle name="Normal 5 2 2 5 2 4" xfId="9441" xr:uid="{1DA89FB1-3EAF-4810-8B90-122A27B0AACC}"/>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B815F9B3-D970-444E-B7D2-4573FC4B8618}"/>
    <cellStyle name="Normal 5 2 2 5 3 2 3" xfId="11999" xr:uid="{75A942F2-500E-4D8E-ACCD-F0B7F037EA5B}"/>
    <cellStyle name="Normal 5 2 2 5 3 3" xfId="5622" xr:uid="{00000000-0005-0000-0000-000016180000}"/>
    <cellStyle name="Normal 5 2 2 5 3 3 2" xfId="14072" xr:uid="{418086FF-20E4-4671-BCCF-A862965D3FBC}"/>
    <cellStyle name="Normal 5 2 2 5 3 4" xfId="9854" xr:uid="{8FF6FA2D-15AF-4B61-94C7-8CE78EEF440A}"/>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AA0FEDE4-516C-4B6F-BE56-EDE754D0CDDC}"/>
    <cellStyle name="Normal 5 2 2 5 4 2 3" xfId="12412" xr:uid="{0ACB9975-5E28-434A-8CDD-CCFBB580523E}"/>
    <cellStyle name="Normal 5 2 2 5 4 3" xfId="6035" xr:uid="{00000000-0005-0000-0000-00001A180000}"/>
    <cellStyle name="Normal 5 2 2 5 4 3 2" xfId="14485" xr:uid="{3B14E09E-BE8E-4070-9DE9-F2914740A903}"/>
    <cellStyle name="Normal 5 2 2 5 4 4" xfId="10267" xr:uid="{F0C2CBD0-7185-4152-A2BC-EC4C92BAE44F}"/>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51D94C70-90A1-4B46-95D9-EC450BA2432C}"/>
    <cellStyle name="Normal 5 2 2 5 5 2 3" xfId="12825" xr:uid="{D88C865F-C60C-432F-8099-E0A0E5A2F4BA}"/>
    <cellStyle name="Normal 5 2 2 5 5 3" xfId="6448" xr:uid="{00000000-0005-0000-0000-00001E180000}"/>
    <cellStyle name="Normal 5 2 2 5 5 3 2" xfId="14898" xr:uid="{CD88BFBA-A088-41E9-9CAB-07BCE601AD08}"/>
    <cellStyle name="Normal 5 2 2 5 5 4" xfId="10680" xr:uid="{5832A729-69E3-4149-89BA-B75F3C415886}"/>
    <cellStyle name="Normal 5 2 2 5 6" xfId="2578" xr:uid="{00000000-0005-0000-0000-00001F180000}"/>
    <cellStyle name="Normal 5 2 2 5 6 2" xfId="6861" xr:uid="{00000000-0005-0000-0000-000020180000}"/>
    <cellStyle name="Normal 5 2 2 5 6 2 2" xfId="15311" xr:uid="{940240DC-34DC-4139-A108-33F75DC59513}"/>
    <cellStyle name="Normal 5 2 2 5 6 3" xfId="11093" xr:uid="{A9EEACF1-664C-43F6-8A65-A8F05B1F04D2}"/>
    <cellStyle name="Normal 5 2 2 5 7" xfId="4796" xr:uid="{00000000-0005-0000-0000-000021180000}"/>
    <cellStyle name="Normal 5 2 2 5 7 2" xfId="13246" xr:uid="{E0D8DBBB-B2C9-45EF-A24F-031B0F01D85B}"/>
    <cellStyle name="Normal 5 2 2 5 8" xfId="9028" xr:uid="{0B20406D-EE99-412F-86A4-EAA1A21F5C97}"/>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6E0C62DE-2A78-4834-8542-594989D2A0CD}"/>
    <cellStyle name="Normal 5 2 2 6 2 3" xfId="11571" xr:uid="{94D16E13-05A4-422A-8EB8-28ECFD96DF61}"/>
    <cellStyle name="Normal 5 2 2 6 3" xfId="5194" xr:uid="{00000000-0005-0000-0000-000025180000}"/>
    <cellStyle name="Normal 5 2 2 6 3 2" xfId="13644" xr:uid="{AAB77FB6-3BD7-45EE-AD66-2D55CA9C95A5}"/>
    <cellStyle name="Normal 5 2 2 6 4" xfId="9426" xr:uid="{6E107A9C-B6AC-4EEB-B677-2F0D41D66777}"/>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C567C1F9-3845-4CD4-86A1-2F2860DA0718}"/>
    <cellStyle name="Normal 5 2 2 7 2 3" xfId="11984" xr:uid="{73D4AB26-264E-4233-8D4C-C5B25B078ACA}"/>
    <cellStyle name="Normal 5 2 2 7 3" xfId="5607" xr:uid="{00000000-0005-0000-0000-000029180000}"/>
    <cellStyle name="Normal 5 2 2 7 3 2" xfId="14057" xr:uid="{6B35597D-93CF-4056-9441-904C645D8104}"/>
    <cellStyle name="Normal 5 2 2 7 4" xfId="9839" xr:uid="{8887BCEF-BEF2-4031-9561-042CC0178D91}"/>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8039BD92-FFFC-424F-AEF9-1844B5AD0BA0}"/>
    <cellStyle name="Normal 5 2 2 8 2 3" xfId="12397" xr:uid="{F7332B71-E146-4D78-9BAB-E45D15CF73B7}"/>
    <cellStyle name="Normal 5 2 2 8 3" xfId="6020" xr:uid="{00000000-0005-0000-0000-00002D180000}"/>
    <cellStyle name="Normal 5 2 2 8 3 2" xfId="14470" xr:uid="{C2054152-7D0D-4F49-9E7E-4302C4A3BB42}"/>
    <cellStyle name="Normal 5 2 2 8 4" xfId="10252" xr:uid="{5CF34259-2D52-49BC-A44A-6A6BEFF30AC6}"/>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8F235348-9D6A-48FF-9727-EC9844E144FC}"/>
    <cellStyle name="Normal 5 2 2 9 2 3" xfId="12810" xr:uid="{B992A251-5625-487F-B463-D1F1C81334C2}"/>
    <cellStyle name="Normal 5 2 2 9 3" xfId="6433" xr:uid="{00000000-0005-0000-0000-000031180000}"/>
    <cellStyle name="Normal 5 2 2 9 3 2" xfId="14883" xr:uid="{9E8C3175-CAF5-4CD9-8104-F115FC5286EC}"/>
    <cellStyle name="Normal 5 2 2 9 4" xfId="10665" xr:uid="{9FF36AA9-69A8-415E-A51E-531166B0325E}"/>
    <cellStyle name="Normal 5 2 3" xfId="424" xr:uid="{00000000-0005-0000-0000-000032180000}"/>
    <cellStyle name="Normal 5 2 3 10" xfId="4797" xr:uid="{00000000-0005-0000-0000-000033180000}"/>
    <cellStyle name="Normal 5 2 3 10 2" xfId="13247" xr:uid="{0FE7963C-D848-4EC0-A00D-72D3253A156E}"/>
    <cellStyle name="Normal 5 2 3 11" xfId="9029" xr:uid="{413CD8DD-DAD2-4C51-89F6-547C936285C5}"/>
    <cellStyle name="Normal 5 2 3 2" xfId="425" xr:uid="{00000000-0005-0000-0000-000034180000}"/>
    <cellStyle name="Normal 5 2 3 2 10" xfId="9030" xr:uid="{3BC637A4-CFB2-4827-A669-B5B9C1D1B85A}"/>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52ABCC4E-EBF1-4598-9791-C9C9DAC62D44}"/>
    <cellStyle name="Normal 5 2 3 2 2 2 2 2 3" xfId="11590" xr:uid="{1EA42776-019E-4CA9-9B98-AD28118952D4}"/>
    <cellStyle name="Normal 5 2 3 2 2 2 2 3" xfId="5213" xr:uid="{00000000-0005-0000-0000-00003A180000}"/>
    <cellStyle name="Normal 5 2 3 2 2 2 2 3 2" xfId="13663" xr:uid="{E25C48B2-3DD0-454B-BB61-4DD1ACCECDA8}"/>
    <cellStyle name="Normal 5 2 3 2 2 2 2 4" xfId="9445" xr:uid="{14B9A5A8-1643-422E-AF3B-2F39C50BCF45}"/>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4A6E868D-FDE8-4CD1-ABA1-316413571D60}"/>
    <cellStyle name="Normal 5 2 3 2 2 2 3 2 3" xfId="12003" xr:uid="{EE03C2D3-E74C-439C-9B67-BD39B2AA0E74}"/>
    <cellStyle name="Normal 5 2 3 2 2 2 3 3" xfId="5626" xr:uid="{00000000-0005-0000-0000-00003E180000}"/>
    <cellStyle name="Normal 5 2 3 2 2 2 3 3 2" xfId="14076" xr:uid="{71D81247-9C62-4BF4-983D-7189753CB075}"/>
    <cellStyle name="Normal 5 2 3 2 2 2 3 4" xfId="9858" xr:uid="{C869E7B0-EF41-49F0-BD78-2791675F156E}"/>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473A4AA0-9D48-4AC1-B2D1-24FFE1683EAD}"/>
    <cellStyle name="Normal 5 2 3 2 2 2 4 2 3" xfId="12416" xr:uid="{CFB90DC7-F509-4B11-9C73-CF7B24F33149}"/>
    <cellStyle name="Normal 5 2 3 2 2 2 4 3" xfId="6039" xr:uid="{00000000-0005-0000-0000-000042180000}"/>
    <cellStyle name="Normal 5 2 3 2 2 2 4 3 2" xfId="14489" xr:uid="{E9FEB3B8-D014-4D2E-9835-8954F2AEC62F}"/>
    <cellStyle name="Normal 5 2 3 2 2 2 4 4" xfId="10271" xr:uid="{3F1B1C7E-60C6-4E19-B2E2-1CEECAE93698}"/>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540F4DF2-0DC0-4F80-8C4D-97FE5661971A}"/>
    <cellStyle name="Normal 5 2 3 2 2 2 5 2 3" xfId="12829" xr:uid="{F7853D74-3585-4F43-B71B-EE0108C852AB}"/>
    <cellStyle name="Normal 5 2 3 2 2 2 5 3" xfId="6452" xr:uid="{00000000-0005-0000-0000-000046180000}"/>
    <cellStyle name="Normal 5 2 3 2 2 2 5 3 2" xfId="14902" xr:uid="{5B857F00-B93A-4EC2-92E5-D3D90B357A12}"/>
    <cellStyle name="Normal 5 2 3 2 2 2 5 4" xfId="10684" xr:uid="{1A8ABD71-A4CD-40BA-9419-69D3F0780968}"/>
    <cellStyle name="Normal 5 2 3 2 2 2 6" xfId="2582" xr:uid="{00000000-0005-0000-0000-000047180000}"/>
    <cellStyle name="Normal 5 2 3 2 2 2 6 2" xfId="6865" xr:uid="{00000000-0005-0000-0000-000048180000}"/>
    <cellStyle name="Normal 5 2 3 2 2 2 6 2 2" xfId="15315" xr:uid="{210640F9-A52E-4ED7-8E43-03DE3316C987}"/>
    <cellStyle name="Normal 5 2 3 2 2 2 6 3" xfId="11097" xr:uid="{D5A080E3-B3C8-42DA-8EAB-7B2799223CF6}"/>
    <cellStyle name="Normal 5 2 3 2 2 2 7" xfId="4800" xr:uid="{00000000-0005-0000-0000-000049180000}"/>
    <cellStyle name="Normal 5 2 3 2 2 2 7 2" xfId="13250" xr:uid="{C7FB95C3-0FED-4483-9147-A3F1F2833834}"/>
    <cellStyle name="Normal 5 2 3 2 2 2 8" xfId="9032" xr:uid="{B1273E62-6F25-44EC-BACC-0B03617C11EC}"/>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A071440C-8E7B-4AC0-8795-E4D67E74B003}"/>
    <cellStyle name="Normal 5 2 3 2 2 3 2 3" xfId="11589" xr:uid="{8D33D6D3-6071-490B-B172-0D30AA953EFC}"/>
    <cellStyle name="Normal 5 2 3 2 2 3 3" xfId="5212" xr:uid="{00000000-0005-0000-0000-00004D180000}"/>
    <cellStyle name="Normal 5 2 3 2 2 3 3 2" xfId="13662" xr:uid="{02388C58-655C-45DE-991D-4DA80B6C5F07}"/>
    <cellStyle name="Normal 5 2 3 2 2 3 4" xfId="9444" xr:uid="{9FC04892-38C7-4370-8773-9EFF9BC256B3}"/>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0718F697-665D-47C7-8F18-6384F752B5B4}"/>
    <cellStyle name="Normal 5 2 3 2 2 4 2 3" xfId="12002" xr:uid="{517A8624-3956-4C09-B3E7-F53F4782275C}"/>
    <cellStyle name="Normal 5 2 3 2 2 4 3" xfId="5625" xr:uid="{00000000-0005-0000-0000-000051180000}"/>
    <cellStyle name="Normal 5 2 3 2 2 4 3 2" xfId="14075" xr:uid="{54A1BFE3-2E9E-4E40-B2B5-9C623B6F99BC}"/>
    <cellStyle name="Normal 5 2 3 2 2 4 4" xfId="9857" xr:uid="{D305C7D6-8972-48A1-8A21-BE1980E58ADF}"/>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5D6404D1-6390-47F3-A079-D09BF75ECE1F}"/>
    <cellStyle name="Normal 5 2 3 2 2 5 2 3" xfId="12415" xr:uid="{65F2DCE4-F4C6-4322-A12B-6049E7B79829}"/>
    <cellStyle name="Normal 5 2 3 2 2 5 3" xfId="6038" xr:uid="{00000000-0005-0000-0000-000055180000}"/>
    <cellStyle name="Normal 5 2 3 2 2 5 3 2" xfId="14488" xr:uid="{895C2F08-A596-4005-ABC1-5CAF45B7C140}"/>
    <cellStyle name="Normal 5 2 3 2 2 5 4" xfId="10270" xr:uid="{5177F6DC-954D-4E61-9B2A-2F3AD5811355}"/>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A14347A9-1668-4FD4-B6C3-03B8928E4A76}"/>
    <cellStyle name="Normal 5 2 3 2 2 6 2 3" xfId="12828" xr:uid="{C1020660-5A70-4F9B-80CC-1BD6BA7D98C4}"/>
    <cellStyle name="Normal 5 2 3 2 2 6 3" xfId="6451" xr:uid="{00000000-0005-0000-0000-000059180000}"/>
    <cellStyle name="Normal 5 2 3 2 2 6 3 2" xfId="14901" xr:uid="{E8716CE5-3E2B-471B-897A-991556B2C080}"/>
    <cellStyle name="Normal 5 2 3 2 2 6 4" xfId="10683" xr:uid="{E42F2435-CB18-4B5F-BA1F-2C421BA93AC9}"/>
    <cellStyle name="Normal 5 2 3 2 2 7" xfId="2581" xr:uid="{00000000-0005-0000-0000-00005A180000}"/>
    <cellStyle name="Normal 5 2 3 2 2 7 2" xfId="6864" xr:uid="{00000000-0005-0000-0000-00005B180000}"/>
    <cellStyle name="Normal 5 2 3 2 2 7 2 2" xfId="15314" xr:uid="{D359914B-0A74-4CD2-BFB5-21038646CFD2}"/>
    <cellStyle name="Normal 5 2 3 2 2 7 3" xfId="11096" xr:uid="{BE050AC1-0D5C-4D81-9936-A198B33281B1}"/>
    <cellStyle name="Normal 5 2 3 2 2 8" xfId="4799" xr:uid="{00000000-0005-0000-0000-00005C180000}"/>
    <cellStyle name="Normal 5 2 3 2 2 8 2" xfId="13249" xr:uid="{EC60B206-9649-4EC9-AB4E-8EF806E113FC}"/>
    <cellStyle name="Normal 5 2 3 2 2 9" xfId="9031" xr:uid="{94031AD3-8DEB-411F-8FEA-3F61FB487C13}"/>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17EF6CAF-1ABB-4145-BA4F-847D612D0D78}"/>
    <cellStyle name="Normal 5 2 3 2 3 2 2 3" xfId="11591" xr:uid="{223C5855-4839-40EC-A59E-56F3D63CB718}"/>
    <cellStyle name="Normal 5 2 3 2 3 2 3" xfId="5214" xr:uid="{00000000-0005-0000-0000-000061180000}"/>
    <cellStyle name="Normal 5 2 3 2 3 2 3 2" xfId="13664" xr:uid="{9C0ADA51-64DA-40C4-AC31-8D62EC873F74}"/>
    <cellStyle name="Normal 5 2 3 2 3 2 4" xfId="9446" xr:uid="{C32DA3ED-E82C-441A-8F84-A7337F6CC733}"/>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73D5A2B9-6D82-4D1E-9BB2-8677BABC295C}"/>
    <cellStyle name="Normal 5 2 3 2 3 3 2 3" xfId="12004" xr:uid="{9EE0E0DB-81BB-4CC3-8885-86BEC01DB443}"/>
    <cellStyle name="Normal 5 2 3 2 3 3 3" xfId="5627" xr:uid="{00000000-0005-0000-0000-000065180000}"/>
    <cellStyle name="Normal 5 2 3 2 3 3 3 2" xfId="14077" xr:uid="{CED1D0BF-DE63-4090-81B5-642342BF9286}"/>
    <cellStyle name="Normal 5 2 3 2 3 3 4" xfId="9859" xr:uid="{2878DE59-A74A-4122-B28C-69CB59F26533}"/>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3552BB11-C07B-4AE7-B026-5C000720F33A}"/>
    <cellStyle name="Normal 5 2 3 2 3 4 2 3" xfId="12417" xr:uid="{5E2AAA32-9288-4E7B-9E20-B7A18B378B0C}"/>
    <cellStyle name="Normal 5 2 3 2 3 4 3" xfId="6040" xr:uid="{00000000-0005-0000-0000-000069180000}"/>
    <cellStyle name="Normal 5 2 3 2 3 4 3 2" xfId="14490" xr:uid="{36BA1CB2-0CDA-4541-93A6-9EB2238CD697}"/>
    <cellStyle name="Normal 5 2 3 2 3 4 4" xfId="10272" xr:uid="{281F7CEF-F8F9-4607-9CF0-12305111FAF7}"/>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1154DA17-B4C6-4F6B-8953-2D69B33C2334}"/>
    <cellStyle name="Normal 5 2 3 2 3 5 2 3" xfId="12830" xr:uid="{39CDA18E-C5F2-45E2-8131-187F724B900A}"/>
    <cellStyle name="Normal 5 2 3 2 3 5 3" xfId="6453" xr:uid="{00000000-0005-0000-0000-00006D180000}"/>
    <cellStyle name="Normal 5 2 3 2 3 5 3 2" xfId="14903" xr:uid="{6EC78185-2578-4CDA-AC2A-C210993D7357}"/>
    <cellStyle name="Normal 5 2 3 2 3 5 4" xfId="10685" xr:uid="{DE6E9CC5-072E-4375-BA65-2E761012759F}"/>
    <cellStyle name="Normal 5 2 3 2 3 6" xfId="2583" xr:uid="{00000000-0005-0000-0000-00006E180000}"/>
    <cellStyle name="Normal 5 2 3 2 3 6 2" xfId="6866" xr:uid="{00000000-0005-0000-0000-00006F180000}"/>
    <cellStyle name="Normal 5 2 3 2 3 6 2 2" xfId="15316" xr:uid="{D00F2D3F-0A89-4D2D-8E36-1562E06A6303}"/>
    <cellStyle name="Normal 5 2 3 2 3 6 3" xfId="11098" xr:uid="{9B2F59D8-21B9-45B1-8BC3-9E46C62C71DD}"/>
    <cellStyle name="Normal 5 2 3 2 3 7" xfId="4801" xr:uid="{00000000-0005-0000-0000-000070180000}"/>
    <cellStyle name="Normal 5 2 3 2 3 7 2" xfId="13251" xr:uid="{FAA43558-B2B9-4B98-ABB6-8204A9EC431A}"/>
    <cellStyle name="Normal 5 2 3 2 3 8" xfId="9033" xr:uid="{DF9F093B-2F8C-4F70-A60A-D0400F131547}"/>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55EA5B63-B550-4FF5-929D-0C5EED83CEF0}"/>
    <cellStyle name="Normal 5 2 3 2 4 2 3" xfId="11588" xr:uid="{011CD4F7-09FE-44CE-ABB2-05AEE196F63E}"/>
    <cellStyle name="Normal 5 2 3 2 4 3" xfId="5211" xr:uid="{00000000-0005-0000-0000-000074180000}"/>
    <cellStyle name="Normal 5 2 3 2 4 3 2" xfId="13661" xr:uid="{0B19D6F8-2960-4B6A-B5F5-863A31AD0A0C}"/>
    <cellStyle name="Normal 5 2 3 2 4 4" xfId="9443" xr:uid="{345745EF-9662-4DB2-AF3F-C3386B76B838}"/>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78B8E15F-D651-48DF-98FE-BC5E9F77ECCF}"/>
    <cellStyle name="Normal 5 2 3 2 5 2 3" xfId="12001" xr:uid="{7F48044B-07D7-47DE-B8AD-C97085690157}"/>
    <cellStyle name="Normal 5 2 3 2 5 3" xfId="5624" xr:uid="{00000000-0005-0000-0000-000078180000}"/>
    <cellStyle name="Normal 5 2 3 2 5 3 2" xfId="14074" xr:uid="{DAAED39B-A071-4662-A6E2-C5EF268277C1}"/>
    <cellStyle name="Normal 5 2 3 2 5 4" xfId="9856" xr:uid="{1D2CE55E-D890-4DCE-B276-7CBD49D4D4E4}"/>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893343B7-99DC-440B-B7AB-1D5701A8E60E}"/>
    <cellStyle name="Normal 5 2 3 2 6 2 3" xfId="12414" xr:uid="{DFBB3F6C-BA0C-4FDD-8D33-F0C5D2A688C6}"/>
    <cellStyle name="Normal 5 2 3 2 6 3" xfId="6037" xr:uid="{00000000-0005-0000-0000-00007C180000}"/>
    <cellStyle name="Normal 5 2 3 2 6 3 2" xfId="14487" xr:uid="{BB63712B-5CB7-445C-9AC8-8D1FE6C43D88}"/>
    <cellStyle name="Normal 5 2 3 2 6 4" xfId="10269" xr:uid="{D89FCA25-43AE-45E7-A3CD-3A442AA0D158}"/>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9AD14736-8B1E-4724-B246-420404B06B05}"/>
    <cellStyle name="Normal 5 2 3 2 7 2 3" xfId="12827" xr:uid="{1C3BF080-3C3E-400E-A78C-7376521CFF5A}"/>
    <cellStyle name="Normal 5 2 3 2 7 3" xfId="6450" xr:uid="{00000000-0005-0000-0000-000080180000}"/>
    <cellStyle name="Normal 5 2 3 2 7 3 2" xfId="14900" xr:uid="{AB7A9F44-E8D1-424A-A12C-58056F24312F}"/>
    <cellStyle name="Normal 5 2 3 2 7 4" xfId="10682" xr:uid="{8CCFB3B9-F9FE-4ECE-A1C4-952E9256C508}"/>
    <cellStyle name="Normal 5 2 3 2 8" xfId="2580" xr:uid="{00000000-0005-0000-0000-000081180000}"/>
    <cellStyle name="Normal 5 2 3 2 8 2" xfId="6863" xr:uid="{00000000-0005-0000-0000-000082180000}"/>
    <cellStyle name="Normal 5 2 3 2 8 2 2" xfId="15313" xr:uid="{33D3F8E2-844E-4A4A-8D39-FC7C0B26BEC1}"/>
    <cellStyle name="Normal 5 2 3 2 8 3" xfId="11095" xr:uid="{0454DB21-7728-4C46-8144-022A7A002061}"/>
    <cellStyle name="Normal 5 2 3 2 9" xfId="4798" xr:uid="{00000000-0005-0000-0000-000083180000}"/>
    <cellStyle name="Normal 5 2 3 2 9 2" xfId="13248" xr:uid="{958A4A43-18CD-4FAA-AB52-354611F3F175}"/>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BBAC8D95-DEE9-4786-B6F6-771B1F98B703}"/>
    <cellStyle name="Normal 5 2 3 3 2 2 2 3" xfId="11593" xr:uid="{4F5D017F-51B1-4CEE-BF2B-649C90B3451A}"/>
    <cellStyle name="Normal 5 2 3 3 2 2 3" xfId="5216" xr:uid="{00000000-0005-0000-0000-000089180000}"/>
    <cellStyle name="Normal 5 2 3 3 2 2 3 2" xfId="13666" xr:uid="{55D6ECEE-68F3-42B9-8956-2D566D380495}"/>
    <cellStyle name="Normal 5 2 3 3 2 2 4" xfId="9448" xr:uid="{82365E40-0B03-4BCB-8CF3-6D6200B74156}"/>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F7F624C6-F9BD-4B44-8D05-80F8EBF20240}"/>
    <cellStyle name="Normal 5 2 3 3 2 3 2 3" xfId="12006" xr:uid="{A83715DA-5006-489C-96FE-AD406F0FDD68}"/>
    <cellStyle name="Normal 5 2 3 3 2 3 3" xfId="5629" xr:uid="{00000000-0005-0000-0000-00008D180000}"/>
    <cellStyle name="Normal 5 2 3 3 2 3 3 2" xfId="14079" xr:uid="{D4C73888-B408-4FE8-9715-1C4592839D96}"/>
    <cellStyle name="Normal 5 2 3 3 2 3 4" xfId="9861" xr:uid="{F363C2CD-1BF6-4C86-8364-C9BEB9774592}"/>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64C84A2E-5EA6-4D64-91A9-0E9BB1D5234A}"/>
    <cellStyle name="Normal 5 2 3 3 2 4 2 3" xfId="12419" xr:uid="{70F978B4-EB2B-4AC6-A2B2-7064BEF3431E}"/>
    <cellStyle name="Normal 5 2 3 3 2 4 3" xfId="6042" xr:uid="{00000000-0005-0000-0000-000091180000}"/>
    <cellStyle name="Normal 5 2 3 3 2 4 3 2" xfId="14492" xr:uid="{1B35643A-7927-409C-983D-C8A8B8C1705C}"/>
    <cellStyle name="Normal 5 2 3 3 2 4 4" xfId="10274" xr:uid="{A6B666AF-0939-46AF-A9F1-DAC9F6608FFF}"/>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97CDA9EA-C267-4D44-9219-E15019D2AF6C}"/>
    <cellStyle name="Normal 5 2 3 3 2 5 2 3" xfId="12832" xr:uid="{C6F24825-C85C-446E-AC1E-D1D3591F07EE}"/>
    <cellStyle name="Normal 5 2 3 3 2 5 3" xfId="6455" xr:uid="{00000000-0005-0000-0000-000095180000}"/>
    <cellStyle name="Normal 5 2 3 3 2 5 3 2" xfId="14905" xr:uid="{CF4150E1-9AFF-4AC8-96D9-28F2023100BF}"/>
    <cellStyle name="Normal 5 2 3 3 2 5 4" xfId="10687" xr:uid="{353D6AE0-5F81-4597-AE45-B919F3FB2A3D}"/>
    <cellStyle name="Normal 5 2 3 3 2 6" xfId="2585" xr:uid="{00000000-0005-0000-0000-000096180000}"/>
    <cellStyle name="Normal 5 2 3 3 2 6 2" xfId="6868" xr:uid="{00000000-0005-0000-0000-000097180000}"/>
    <cellStyle name="Normal 5 2 3 3 2 6 2 2" xfId="15318" xr:uid="{DDE7D506-8A7B-4975-BE54-524E5293EA82}"/>
    <cellStyle name="Normal 5 2 3 3 2 6 3" xfId="11100" xr:uid="{CB6A9BF7-38F8-4201-8D35-4AEB5EB59E94}"/>
    <cellStyle name="Normal 5 2 3 3 2 7" xfId="4803" xr:uid="{00000000-0005-0000-0000-000098180000}"/>
    <cellStyle name="Normal 5 2 3 3 2 7 2" xfId="13253" xr:uid="{8CA5BC27-EC89-4FC8-B787-CBD9C1EFEBEC}"/>
    <cellStyle name="Normal 5 2 3 3 2 8" xfId="9035" xr:uid="{7498A8C1-E347-48FB-ADBD-E49F3F52CA68}"/>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BCEDF69D-AC7A-4460-846A-027321B63DC0}"/>
    <cellStyle name="Normal 5 2 3 3 3 2 3" xfId="11592" xr:uid="{943B985E-F8DC-4219-814C-5FD38FCBCF38}"/>
    <cellStyle name="Normal 5 2 3 3 3 3" xfId="5215" xr:uid="{00000000-0005-0000-0000-00009C180000}"/>
    <cellStyle name="Normal 5 2 3 3 3 3 2" xfId="13665" xr:uid="{204FE1FC-1DB9-4044-9CD5-D131BB02EBA9}"/>
    <cellStyle name="Normal 5 2 3 3 3 4" xfId="9447" xr:uid="{3DA6524B-5CDA-408C-BA47-932E58DE96AC}"/>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CFEC0095-EB23-4615-9F1B-ECE370E0B7B1}"/>
    <cellStyle name="Normal 5 2 3 3 4 2 3" xfId="12005" xr:uid="{1B1DEE1D-2FB2-4928-9276-0FC8DBBC83B8}"/>
    <cellStyle name="Normal 5 2 3 3 4 3" xfId="5628" xr:uid="{00000000-0005-0000-0000-0000A0180000}"/>
    <cellStyle name="Normal 5 2 3 3 4 3 2" xfId="14078" xr:uid="{55F7CECA-126B-4773-9CB4-164201411F5E}"/>
    <cellStyle name="Normal 5 2 3 3 4 4" xfId="9860" xr:uid="{555025A5-6403-4B4C-9ADD-8FB213AD1571}"/>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1BABC7AA-C1FF-4F84-9E27-642017CF909A}"/>
    <cellStyle name="Normal 5 2 3 3 5 2 3" xfId="12418" xr:uid="{D6E8922B-60D8-4E24-9C06-DC4AE5468CC7}"/>
    <cellStyle name="Normal 5 2 3 3 5 3" xfId="6041" xr:uid="{00000000-0005-0000-0000-0000A4180000}"/>
    <cellStyle name="Normal 5 2 3 3 5 3 2" xfId="14491" xr:uid="{A59179CD-9FD8-4D92-B6B9-2F362FCFB141}"/>
    <cellStyle name="Normal 5 2 3 3 5 4" xfId="10273" xr:uid="{DAB08532-2D5D-4E85-AA0B-B915E24C6175}"/>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ECAD255A-49F1-4B12-A204-B5A79FB048DB}"/>
    <cellStyle name="Normal 5 2 3 3 6 2 3" xfId="12831" xr:uid="{9AC52987-80D6-4BE6-906A-19F013ABE87B}"/>
    <cellStyle name="Normal 5 2 3 3 6 3" xfId="6454" xr:uid="{00000000-0005-0000-0000-0000A8180000}"/>
    <cellStyle name="Normal 5 2 3 3 6 3 2" xfId="14904" xr:uid="{5E032CF0-ED7B-4BD1-85B8-74F5D99711CE}"/>
    <cellStyle name="Normal 5 2 3 3 6 4" xfId="10686" xr:uid="{AE5849FA-EB09-4248-9973-C28EB401079D}"/>
    <cellStyle name="Normal 5 2 3 3 7" xfId="2584" xr:uid="{00000000-0005-0000-0000-0000A9180000}"/>
    <cellStyle name="Normal 5 2 3 3 7 2" xfId="6867" xr:uid="{00000000-0005-0000-0000-0000AA180000}"/>
    <cellStyle name="Normal 5 2 3 3 7 2 2" xfId="15317" xr:uid="{80E01A0A-9111-455D-8F17-A6FB8ACE9D5F}"/>
    <cellStyle name="Normal 5 2 3 3 7 3" xfId="11099" xr:uid="{AE42F343-D9A4-4E4E-B38E-595C43DA3DAA}"/>
    <cellStyle name="Normal 5 2 3 3 8" xfId="4802" xr:uid="{00000000-0005-0000-0000-0000AB180000}"/>
    <cellStyle name="Normal 5 2 3 3 8 2" xfId="13252" xr:uid="{54327CBA-EC74-416E-9954-4E068A66712B}"/>
    <cellStyle name="Normal 5 2 3 3 9" xfId="9034" xr:uid="{81EFBD77-261D-4BFD-92C9-72574E731482}"/>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A3F25D9B-7D0E-4172-A7EA-0820EEE8800E}"/>
    <cellStyle name="Normal 5 2 3 4 2 2 3" xfId="11594" xr:uid="{39D99A9E-EFA9-4090-9527-72A04B546D67}"/>
    <cellStyle name="Normal 5 2 3 4 2 3" xfId="5217" xr:uid="{00000000-0005-0000-0000-0000B0180000}"/>
    <cellStyle name="Normal 5 2 3 4 2 3 2" xfId="13667" xr:uid="{26225DC4-BC0F-4C2E-80D6-D5BC12CE53CE}"/>
    <cellStyle name="Normal 5 2 3 4 2 4" xfId="9449" xr:uid="{D6A89F08-F09F-4D68-82D5-C51496AC1772}"/>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DC88ADAD-2DB9-4715-8B7D-7CB10114AC98}"/>
    <cellStyle name="Normal 5 2 3 4 3 2 3" xfId="12007" xr:uid="{35B1FC1C-3F5A-42D3-8499-E987EE2DAA91}"/>
    <cellStyle name="Normal 5 2 3 4 3 3" xfId="5630" xr:uid="{00000000-0005-0000-0000-0000B4180000}"/>
    <cellStyle name="Normal 5 2 3 4 3 3 2" xfId="14080" xr:uid="{ECB3C151-50D0-4D93-B78A-ACF693970A70}"/>
    <cellStyle name="Normal 5 2 3 4 3 4" xfId="9862" xr:uid="{553F088C-864A-4C00-8141-B3495645E212}"/>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58F5024C-1471-41D2-B66C-429F8E4A02D2}"/>
    <cellStyle name="Normal 5 2 3 4 4 2 3" xfId="12420" xr:uid="{C3522FDA-D2D5-4BA8-BD8A-733748307CB5}"/>
    <cellStyle name="Normal 5 2 3 4 4 3" xfId="6043" xr:uid="{00000000-0005-0000-0000-0000B8180000}"/>
    <cellStyle name="Normal 5 2 3 4 4 3 2" xfId="14493" xr:uid="{EA0C5AB1-B6D9-4056-8D16-FF387CCC420F}"/>
    <cellStyle name="Normal 5 2 3 4 4 4" xfId="10275" xr:uid="{0EAB4323-F382-45D9-B98F-EFCD8EBD97DC}"/>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392599D2-D3AC-4FA4-9E2B-56E35595B1E0}"/>
    <cellStyle name="Normal 5 2 3 4 5 2 3" xfId="12833" xr:uid="{67BCD2D5-F93C-4784-B0EB-8C0AA03A3246}"/>
    <cellStyle name="Normal 5 2 3 4 5 3" xfId="6456" xr:uid="{00000000-0005-0000-0000-0000BC180000}"/>
    <cellStyle name="Normal 5 2 3 4 5 3 2" xfId="14906" xr:uid="{ECBB5BFD-171D-4341-8BE9-356B1AF34F9B}"/>
    <cellStyle name="Normal 5 2 3 4 5 4" xfId="10688" xr:uid="{12CFC524-CC67-42A1-837C-C0967E781391}"/>
    <cellStyle name="Normal 5 2 3 4 6" xfId="2586" xr:uid="{00000000-0005-0000-0000-0000BD180000}"/>
    <cellStyle name="Normal 5 2 3 4 6 2" xfId="6869" xr:uid="{00000000-0005-0000-0000-0000BE180000}"/>
    <cellStyle name="Normal 5 2 3 4 6 2 2" xfId="15319" xr:uid="{E6B530AA-AD8B-465F-B2A7-305D5C46B8F0}"/>
    <cellStyle name="Normal 5 2 3 4 6 3" xfId="11101" xr:uid="{072466B1-8927-4487-B31D-CF123EBF5AB9}"/>
    <cellStyle name="Normal 5 2 3 4 7" xfId="4804" xr:uid="{00000000-0005-0000-0000-0000BF180000}"/>
    <cellStyle name="Normal 5 2 3 4 7 2" xfId="13254" xr:uid="{561AB2AE-2AFB-4A5D-BF59-5C2705B6753F}"/>
    <cellStyle name="Normal 5 2 3 4 8" xfId="9036" xr:uid="{91F5A651-B231-4C38-8675-C09CCDF62056}"/>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BF917446-0FC8-4841-A1E5-78E80504C14A}"/>
    <cellStyle name="Normal 5 2 3 5 2 3" xfId="11587" xr:uid="{E40A3A65-2905-4791-9F51-A713A27574D1}"/>
    <cellStyle name="Normal 5 2 3 5 3" xfId="5210" xr:uid="{00000000-0005-0000-0000-0000C3180000}"/>
    <cellStyle name="Normal 5 2 3 5 3 2" xfId="13660" xr:uid="{EAFE5A70-98F1-4C15-8137-00BEA75DA044}"/>
    <cellStyle name="Normal 5 2 3 5 4" xfId="9442" xr:uid="{99293A71-2E8E-4037-B6EB-14050186064A}"/>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4322CA40-EDB6-4E9A-AD52-5AF359F1BC5E}"/>
    <cellStyle name="Normal 5 2 3 6 2 3" xfId="12000" xr:uid="{7FC14B41-55F7-4E2A-861D-3F25A3455FD4}"/>
    <cellStyle name="Normal 5 2 3 6 3" xfId="5623" xr:uid="{00000000-0005-0000-0000-0000C7180000}"/>
    <cellStyle name="Normal 5 2 3 6 3 2" xfId="14073" xr:uid="{36A04A41-9394-49A0-8DEC-6574A52C9B85}"/>
    <cellStyle name="Normal 5 2 3 6 4" xfId="9855" xr:uid="{02D051FE-98F8-463A-8D1C-2E9434E3085A}"/>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777316A1-1957-4475-A66C-2225542BEAC0}"/>
    <cellStyle name="Normal 5 2 3 7 2 3" xfId="12413" xr:uid="{A04C4500-C56D-4ECC-9B43-32435E515800}"/>
    <cellStyle name="Normal 5 2 3 7 3" xfId="6036" xr:uid="{00000000-0005-0000-0000-0000CB180000}"/>
    <cellStyle name="Normal 5 2 3 7 3 2" xfId="14486" xr:uid="{562C224E-737C-4F9B-A600-27F7CFDB822C}"/>
    <cellStyle name="Normal 5 2 3 7 4" xfId="10268" xr:uid="{F687BC55-F711-41A9-8457-4B767444F20C}"/>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342EB741-BBCA-4E8B-B400-C1B17DEF1F0C}"/>
    <cellStyle name="Normal 5 2 3 8 2 3" xfId="12826" xr:uid="{1E3D8B8D-5D29-4D37-8177-0729EE810DE4}"/>
    <cellStyle name="Normal 5 2 3 8 3" xfId="6449" xr:uid="{00000000-0005-0000-0000-0000CF180000}"/>
    <cellStyle name="Normal 5 2 3 8 3 2" xfId="14899" xr:uid="{A807FFBB-5A50-4D54-8C05-48798F12331C}"/>
    <cellStyle name="Normal 5 2 3 8 4" xfId="10681" xr:uid="{F275628C-E7EB-4ED2-99A9-08F5408FA6B6}"/>
    <cellStyle name="Normal 5 2 3 9" xfId="2579" xr:uid="{00000000-0005-0000-0000-0000D0180000}"/>
    <cellStyle name="Normal 5 2 3 9 2" xfId="6862" xr:uid="{00000000-0005-0000-0000-0000D1180000}"/>
    <cellStyle name="Normal 5 2 3 9 2 2" xfId="15312" xr:uid="{C8FF7033-84D5-426F-A73A-5C16C5F09B43}"/>
    <cellStyle name="Normal 5 2 3 9 3" xfId="11094" xr:uid="{7A72117C-08FB-4950-9237-A87E41E5C450}"/>
    <cellStyle name="Normal 5 2 4" xfId="432" xr:uid="{00000000-0005-0000-0000-0000D2180000}"/>
    <cellStyle name="Normal 5 2 4 10" xfId="9037" xr:uid="{FE9F4325-79E6-4E15-9C99-802EC0112C16}"/>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F2EACF2A-E1AD-4953-BCCD-BF52F226C34A}"/>
    <cellStyle name="Normal 5 2 4 2 2 2 2 3" xfId="11597" xr:uid="{A7A0DAB9-9015-46B2-AB93-CD69C0A0BB34}"/>
    <cellStyle name="Normal 5 2 4 2 2 2 3" xfId="5220" xr:uid="{00000000-0005-0000-0000-0000D8180000}"/>
    <cellStyle name="Normal 5 2 4 2 2 2 3 2" xfId="13670" xr:uid="{761B0308-9D22-4CEB-824F-40E7BCA210B5}"/>
    <cellStyle name="Normal 5 2 4 2 2 2 4" xfId="9452" xr:uid="{894BDE23-7750-4911-8B4C-A87BD74A99CC}"/>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D77722B4-0921-4203-8D69-C9264E5F8E49}"/>
    <cellStyle name="Normal 5 2 4 2 2 3 2 3" xfId="12010" xr:uid="{F4305036-3BB0-4D93-92FC-00C26C5F74AF}"/>
    <cellStyle name="Normal 5 2 4 2 2 3 3" xfId="5633" xr:uid="{00000000-0005-0000-0000-0000DC180000}"/>
    <cellStyle name="Normal 5 2 4 2 2 3 3 2" xfId="14083" xr:uid="{E5A9D499-EF74-4E4B-8B83-5F787ADEEEF1}"/>
    <cellStyle name="Normal 5 2 4 2 2 3 4" xfId="9865" xr:uid="{49B48277-F861-48E4-9C58-A86254AD50B7}"/>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3B3B6C59-5B8D-449D-854F-2A63FBB54DA8}"/>
    <cellStyle name="Normal 5 2 4 2 2 4 2 3" xfId="12423" xr:uid="{C5AD75FA-A87F-4518-943D-D5B2D5D0A02C}"/>
    <cellStyle name="Normal 5 2 4 2 2 4 3" xfId="6046" xr:uid="{00000000-0005-0000-0000-0000E0180000}"/>
    <cellStyle name="Normal 5 2 4 2 2 4 3 2" xfId="14496" xr:uid="{F638554B-FE35-468A-AC06-BA2965B579F4}"/>
    <cellStyle name="Normal 5 2 4 2 2 4 4" xfId="10278" xr:uid="{0C4487C0-3D00-45FA-8E39-C7E089C002F4}"/>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55B970DC-2D01-4CCD-AD4E-3911CC4A6F3A}"/>
    <cellStyle name="Normal 5 2 4 2 2 5 2 3" xfId="12836" xr:uid="{2DE8D647-D2D3-4E5B-BD92-481B87FCC769}"/>
    <cellStyle name="Normal 5 2 4 2 2 5 3" xfId="6459" xr:uid="{00000000-0005-0000-0000-0000E4180000}"/>
    <cellStyle name="Normal 5 2 4 2 2 5 3 2" xfId="14909" xr:uid="{D483DB59-5251-4241-867B-A68ED183B603}"/>
    <cellStyle name="Normal 5 2 4 2 2 5 4" xfId="10691" xr:uid="{7DE3DB12-05E8-4055-B8C9-659B679A57A1}"/>
    <cellStyle name="Normal 5 2 4 2 2 6" xfId="2589" xr:uid="{00000000-0005-0000-0000-0000E5180000}"/>
    <cellStyle name="Normal 5 2 4 2 2 6 2" xfId="6872" xr:uid="{00000000-0005-0000-0000-0000E6180000}"/>
    <cellStyle name="Normal 5 2 4 2 2 6 2 2" xfId="15322" xr:uid="{00995F7C-C4FA-4FCF-BA44-F0FF1DA83792}"/>
    <cellStyle name="Normal 5 2 4 2 2 6 3" xfId="11104" xr:uid="{A336559F-AD0B-4747-A19D-0F77139D16BE}"/>
    <cellStyle name="Normal 5 2 4 2 2 7" xfId="4807" xr:uid="{00000000-0005-0000-0000-0000E7180000}"/>
    <cellStyle name="Normal 5 2 4 2 2 7 2" xfId="13257" xr:uid="{8DC0DB9D-A202-461B-A52B-89D3904E179A}"/>
    <cellStyle name="Normal 5 2 4 2 2 8" xfId="9039" xr:uid="{3DD6FC7B-D87A-437B-994D-44A3922A69AC}"/>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7B937E00-7863-496A-A095-BD2A77560A9E}"/>
    <cellStyle name="Normal 5 2 4 2 3 2 3" xfId="11596" xr:uid="{D9AFE746-5BFB-4980-AB99-8235F972089C}"/>
    <cellStyle name="Normal 5 2 4 2 3 3" xfId="5219" xr:uid="{00000000-0005-0000-0000-0000EB180000}"/>
    <cellStyle name="Normal 5 2 4 2 3 3 2" xfId="13669" xr:uid="{1EBB0ED3-BABA-42FB-8421-8788E93DCE36}"/>
    <cellStyle name="Normal 5 2 4 2 3 4" xfId="9451" xr:uid="{3A578763-06F1-456D-8EE5-5663E65FE7B9}"/>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34220668-7FA7-4020-94D5-935813EA18E0}"/>
    <cellStyle name="Normal 5 2 4 2 4 2 3" xfId="12009" xr:uid="{45EDC15A-3300-4F81-902B-989FE2DEF109}"/>
    <cellStyle name="Normal 5 2 4 2 4 3" xfId="5632" xr:uid="{00000000-0005-0000-0000-0000EF180000}"/>
    <cellStyle name="Normal 5 2 4 2 4 3 2" xfId="14082" xr:uid="{A3A1F3F1-D369-4D28-9914-8F6563C23CF1}"/>
    <cellStyle name="Normal 5 2 4 2 4 4" xfId="9864" xr:uid="{8466D68E-7926-4E1E-AFC1-90C59877BBBB}"/>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CB11E4D4-38D5-495A-9DC6-935BE9291359}"/>
    <cellStyle name="Normal 5 2 4 2 5 2 3" xfId="12422" xr:uid="{92254012-1E2F-4093-B7EF-CB465FE08F62}"/>
    <cellStyle name="Normal 5 2 4 2 5 3" xfId="6045" xr:uid="{00000000-0005-0000-0000-0000F3180000}"/>
    <cellStyle name="Normal 5 2 4 2 5 3 2" xfId="14495" xr:uid="{B4245B4E-83AE-413F-9EE1-C08452457469}"/>
    <cellStyle name="Normal 5 2 4 2 5 4" xfId="10277" xr:uid="{B0CE0870-71AE-4A6D-B8AF-8979BC6B14F5}"/>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9A613E7C-8D63-4947-8604-0F1A7DEDF4C4}"/>
    <cellStyle name="Normal 5 2 4 2 6 2 3" xfId="12835" xr:uid="{924F4F85-6235-499A-A64B-86A3CFD31921}"/>
    <cellStyle name="Normal 5 2 4 2 6 3" xfId="6458" xr:uid="{00000000-0005-0000-0000-0000F7180000}"/>
    <cellStyle name="Normal 5 2 4 2 6 3 2" xfId="14908" xr:uid="{0FFD99DF-1762-419C-B6D6-61024194F470}"/>
    <cellStyle name="Normal 5 2 4 2 6 4" xfId="10690" xr:uid="{636D633F-F0FA-47CF-8209-724DB98BB713}"/>
    <cellStyle name="Normal 5 2 4 2 7" xfId="2588" xr:uid="{00000000-0005-0000-0000-0000F8180000}"/>
    <cellStyle name="Normal 5 2 4 2 7 2" xfId="6871" xr:uid="{00000000-0005-0000-0000-0000F9180000}"/>
    <cellStyle name="Normal 5 2 4 2 7 2 2" xfId="15321" xr:uid="{D276767A-FEC6-47EC-A6F2-C0B6CE73BA56}"/>
    <cellStyle name="Normal 5 2 4 2 7 3" xfId="11103" xr:uid="{A333293A-753A-4915-A4E2-06E3143E40A3}"/>
    <cellStyle name="Normal 5 2 4 2 8" xfId="4806" xr:uid="{00000000-0005-0000-0000-0000FA180000}"/>
    <cellStyle name="Normal 5 2 4 2 8 2" xfId="13256" xr:uid="{A2EDBD14-C3A8-463F-AD00-02D0CA563773}"/>
    <cellStyle name="Normal 5 2 4 2 9" xfId="9038" xr:uid="{10E3EC46-4297-4EC2-A2A7-D38F5D596BAF}"/>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5EA62164-A67C-4C0F-A2A5-962BD33B8E16}"/>
    <cellStyle name="Normal 5 2 4 3 2 2 3" xfId="11598" xr:uid="{E86FFB51-5CFF-4896-9810-F16E41CADD3C}"/>
    <cellStyle name="Normal 5 2 4 3 2 3" xfId="5221" xr:uid="{00000000-0005-0000-0000-0000FF180000}"/>
    <cellStyle name="Normal 5 2 4 3 2 3 2" xfId="13671" xr:uid="{C1B5C41B-9F3E-4BCF-AF93-FB24E274D819}"/>
    <cellStyle name="Normal 5 2 4 3 2 4" xfId="9453" xr:uid="{2785F878-DA76-4BFA-8A95-ABA7B2FECF28}"/>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7DB0CB28-26C1-4667-B6E3-A5B7BFE14765}"/>
    <cellStyle name="Normal 5 2 4 3 3 2 3" xfId="12011" xr:uid="{71E2C4B8-08BB-4B10-A7C5-78505000236E}"/>
    <cellStyle name="Normal 5 2 4 3 3 3" xfId="5634" xr:uid="{00000000-0005-0000-0000-000003190000}"/>
    <cellStyle name="Normal 5 2 4 3 3 3 2" xfId="14084" xr:uid="{3353BC21-BFA1-4D91-8639-67B219FDAAB3}"/>
    <cellStyle name="Normal 5 2 4 3 3 4" xfId="9866" xr:uid="{BA60DE2B-B654-46A0-AC33-84918D2AC076}"/>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D232C3B6-24DD-41C9-871F-0BABD4C6E084}"/>
    <cellStyle name="Normal 5 2 4 3 4 2 3" xfId="12424" xr:uid="{12D5943D-D75C-4628-87BF-4B5EE307B083}"/>
    <cellStyle name="Normal 5 2 4 3 4 3" xfId="6047" xr:uid="{00000000-0005-0000-0000-000007190000}"/>
    <cellStyle name="Normal 5 2 4 3 4 3 2" xfId="14497" xr:uid="{270A8A5D-A011-4F20-B23D-84DEEF3F4529}"/>
    <cellStyle name="Normal 5 2 4 3 4 4" xfId="10279" xr:uid="{BE721859-B018-4BDD-B129-A5B292D3FC90}"/>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9E1BB3F1-1AA2-44C8-A4DB-4B475F6CC5D6}"/>
    <cellStyle name="Normal 5 2 4 3 5 2 3" xfId="12837" xr:uid="{B2CC1AF0-556D-49BF-92AE-1B2061673B85}"/>
    <cellStyle name="Normal 5 2 4 3 5 3" xfId="6460" xr:uid="{00000000-0005-0000-0000-00000B190000}"/>
    <cellStyle name="Normal 5 2 4 3 5 3 2" xfId="14910" xr:uid="{B47899A5-06E1-480E-BA88-4430A556AE6E}"/>
    <cellStyle name="Normal 5 2 4 3 5 4" xfId="10692" xr:uid="{77B2FF18-3EC4-46A3-BC0F-CC02E1BA15E1}"/>
    <cellStyle name="Normal 5 2 4 3 6" xfId="2590" xr:uid="{00000000-0005-0000-0000-00000C190000}"/>
    <cellStyle name="Normal 5 2 4 3 6 2" xfId="6873" xr:uid="{00000000-0005-0000-0000-00000D190000}"/>
    <cellStyle name="Normal 5 2 4 3 6 2 2" xfId="15323" xr:uid="{FD9526B5-1BD3-4C5B-B09B-ECC7A674A9EC}"/>
    <cellStyle name="Normal 5 2 4 3 6 3" xfId="11105" xr:uid="{AD72C022-BB77-4AE3-8E8F-02298022E5AB}"/>
    <cellStyle name="Normal 5 2 4 3 7" xfId="4808" xr:uid="{00000000-0005-0000-0000-00000E190000}"/>
    <cellStyle name="Normal 5 2 4 3 7 2" xfId="13258" xr:uid="{9D100EE6-98F6-4B07-B352-A3F74227E67A}"/>
    <cellStyle name="Normal 5 2 4 3 8" xfId="9040" xr:uid="{41795007-3B3F-4875-85FD-EE859E584289}"/>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F24A7E2A-C1CB-494D-B063-398B1E3C07FC}"/>
    <cellStyle name="Normal 5 2 4 4 2 3" xfId="11595" xr:uid="{BCBA00A4-7F85-404C-9073-550A5B458D60}"/>
    <cellStyle name="Normal 5 2 4 4 3" xfId="5218" xr:uid="{00000000-0005-0000-0000-000012190000}"/>
    <cellStyle name="Normal 5 2 4 4 3 2" xfId="13668" xr:uid="{1EC2AB4A-75A2-4C6B-99F9-C6DCC2873A31}"/>
    <cellStyle name="Normal 5 2 4 4 4" xfId="9450" xr:uid="{6A91960F-96B3-42B0-999C-A3F2B9FCD542}"/>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8B4A1BC6-54D4-4D31-B540-6842D03D7BEF}"/>
    <cellStyle name="Normal 5 2 4 5 2 3" xfId="12008" xr:uid="{60A01373-B933-40F8-A7C5-9AB322143763}"/>
    <cellStyle name="Normal 5 2 4 5 3" xfId="5631" xr:uid="{00000000-0005-0000-0000-000016190000}"/>
    <cellStyle name="Normal 5 2 4 5 3 2" xfId="14081" xr:uid="{27513A15-9DCB-4819-9FAF-1441A6182D3A}"/>
    <cellStyle name="Normal 5 2 4 5 4" xfId="9863" xr:uid="{9F190682-6EB4-479A-AD9F-E2E137CC2B5E}"/>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D787D9CF-096E-4CDD-9B3B-C8D6752EE62C}"/>
    <cellStyle name="Normal 5 2 4 6 2 3" xfId="12421" xr:uid="{D418DA5C-94D1-47AD-8A8F-353BE4CC3A05}"/>
    <cellStyle name="Normal 5 2 4 6 3" xfId="6044" xr:uid="{00000000-0005-0000-0000-00001A190000}"/>
    <cellStyle name="Normal 5 2 4 6 3 2" xfId="14494" xr:uid="{DC15DD65-21BA-435B-8B73-30B92B85D1B9}"/>
    <cellStyle name="Normal 5 2 4 6 4" xfId="10276" xr:uid="{48319D68-C912-4531-9AF0-496A21921EE7}"/>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30AAADAF-90E8-4259-90C0-BF7111448B17}"/>
    <cellStyle name="Normal 5 2 4 7 2 3" xfId="12834" xr:uid="{1BCABF01-DDE5-41FF-ABD8-A4802D75E505}"/>
    <cellStyle name="Normal 5 2 4 7 3" xfId="6457" xr:uid="{00000000-0005-0000-0000-00001E190000}"/>
    <cellStyle name="Normal 5 2 4 7 3 2" xfId="14907" xr:uid="{BC6DD46F-754B-4476-9F85-5275CFE20EB5}"/>
    <cellStyle name="Normal 5 2 4 7 4" xfId="10689" xr:uid="{7CE33207-F7E6-4521-9E0C-5649FFA5077D}"/>
    <cellStyle name="Normal 5 2 4 8" xfId="2587" xr:uid="{00000000-0005-0000-0000-00001F190000}"/>
    <cellStyle name="Normal 5 2 4 8 2" xfId="6870" xr:uid="{00000000-0005-0000-0000-000020190000}"/>
    <cellStyle name="Normal 5 2 4 8 2 2" xfId="15320" xr:uid="{90463C38-0DE0-4689-8016-6F7362724159}"/>
    <cellStyle name="Normal 5 2 4 8 3" xfId="11102" xr:uid="{518B9239-053E-4633-BAB8-F9E3CDFAE2E6}"/>
    <cellStyle name="Normal 5 2 4 9" xfId="4805" xr:uid="{00000000-0005-0000-0000-000021190000}"/>
    <cellStyle name="Normal 5 2 4 9 2" xfId="13255" xr:uid="{48849197-D682-4CCA-9F39-1DFBA7239FBB}"/>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D686B99E-C6AF-4E51-9C73-CC85321DBF11}"/>
    <cellStyle name="Normal 5 2 5 2 2 2 3" xfId="11600" xr:uid="{826968E5-CA74-49F8-BA6F-CF19D17DF163}"/>
    <cellStyle name="Normal 5 2 5 2 2 3" xfId="5223" xr:uid="{00000000-0005-0000-0000-000027190000}"/>
    <cellStyle name="Normal 5 2 5 2 2 3 2" xfId="13673" xr:uid="{B0528F83-0ACE-4D94-A88B-85001DCD5F8F}"/>
    <cellStyle name="Normal 5 2 5 2 2 4" xfId="9455" xr:uid="{03F9E913-8115-470C-85CF-8294B351DF3E}"/>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DBDB3804-28D8-4400-9E67-1AC342770164}"/>
    <cellStyle name="Normal 5 2 5 2 3 2 3" xfId="12013" xr:uid="{1641EB14-4B69-4750-B880-A4722FCDB818}"/>
    <cellStyle name="Normal 5 2 5 2 3 3" xfId="5636" xr:uid="{00000000-0005-0000-0000-00002B190000}"/>
    <cellStyle name="Normal 5 2 5 2 3 3 2" xfId="14086" xr:uid="{FE0DD5E4-8DC0-4C32-AEE8-26780DBC741E}"/>
    <cellStyle name="Normal 5 2 5 2 3 4" xfId="9868" xr:uid="{48C46662-4727-4742-918E-BB049001C9AD}"/>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A5D358C5-36AF-4C41-BFEE-D6FFA08BE8F6}"/>
    <cellStyle name="Normal 5 2 5 2 4 2 3" xfId="12426" xr:uid="{1AFC11D2-7067-4CE7-9B7D-9C620281B851}"/>
    <cellStyle name="Normal 5 2 5 2 4 3" xfId="6049" xr:uid="{00000000-0005-0000-0000-00002F190000}"/>
    <cellStyle name="Normal 5 2 5 2 4 3 2" xfId="14499" xr:uid="{D46BEBEE-CDD4-4D78-B169-2A3B941A13F7}"/>
    <cellStyle name="Normal 5 2 5 2 4 4" xfId="10281" xr:uid="{139F67B0-049F-4BC5-B5CC-F87081A61D57}"/>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A29B4602-D922-4DFD-A86C-2AEB0688A5C4}"/>
    <cellStyle name="Normal 5 2 5 2 5 2 3" xfId="12839" xr:uid="{D26435D1-EF3A-4DBF-AFB5-DDFF6CEFC23B}"/>
    <cellStyle name="Normal 5 2 5 2 5 3" xfId="6462" xr:uid="{00000000-0005-0000-0000-000033190000}"/>
    <cellStyle name="Normal 5 2 5 2 5 3 2" xfId="14912" xr:uid="{E59992EE-D6CA-4BC7-853F-9D9802A630BA}"/>
    <cellStyle name="Normal 5 2 5 2 5 4" xfId="10694" xr:uid="{B2F47C87-8B18-4DDF-8648-79C318BAD714}"/>
    <cellStyle name="Normal 5 2 5 2 6" xfId="2592" xr:uid="{00000000-0005-0000-0000-000034190000}"/>
    <cellStyle name="Normal 5 2 5 2 6 2" xfId="6875" xr:uid="{00000000-0005-0000-0000-000035190000}"/>
    <cellStyle name="Normal 5 2 5 2 6 2 2" xfId="15325" xr:uid="{711B16CE-D3AE-4AD0-B7FE-4BE8EE51E42B}"/>
    <cellStyle name="Normal 5 2 5 2 6 3" xfId="11107" xr:uid="{FBA867D1-7860-4285-868F-94F5C19C7785}"/>
    <cellStyle name="Normal 5 2 5 2 7" xfId="4810" xr:uid="{00000000-0005-0000-0000-000036190000}"/>
    <cellStyle name="Normal 5 2 5 2 7 2" xfId="13260" xr:uid="{EEF3A2CF-8F5B-4637-913B-2C82602A88DF}"/>
    <cellStyle name="Normal 5 2 5 2 8" xfId="9042" xr:uid="{E620799C-D211-4899-8515-C6BC8A96FD94}"/>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EBC4D9C5-13B2-4C33-BD58-4D0A47CEED1C}"/>
    <cellStyle name="Normal 5 2 5 3 2 3" xfId="11599" xr:uid="{00F37873-AC80-41F5-B135-DD730849DA3B}"/>
    <cellStyle name="Normal 5 2 5 3 3" xfId="5222" xr:uid="{00000000-0005-0000-0000-00003A190000}"/>
    <cellStyle name="Normal 5 2 5 3 3 2" xfId="13672" xr:uid="{29BF0AEE-3F05-4740-9C33-5E128321C146}"/>
    <cellStyle name="Normal 5 2 5 3 4" xfId="9454" xr:uid="{B744938F-C677-494F-ACDA-7984073F852C}"/>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3AA72D4C-5AA9-4F2A-904F-D22E62025735}"/>
    <cellStyle name="Normal 5 2 5 4 2 3" xfId="12012" xr:uid="{E4CE25B2-DD24-4873-90BF-7EAF62E7581D}"/>
    <cellStyle name="Normal 5 2 5 4 3" xfId="5635" xr:uid="{00000000-0005-0000-0000-00003E190000}"/>
    <cellStyle name="Normal 5 2 5 4 3 2" xfId="14085" xr:uid="{60E3A678-4F54-4B29-914B-B1F4EFA27236}"/>
    <cellStyle name="Normal 5 2 5 4 4" xfId="9867" xr:uid="{AC16A9D2-CB97-4777-8421-90BEE1C9F4A4}"/>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59A2985B-606F-444A-954B-86C1C67C1345}"/>
    <cellStyle name="Normal 5 2 5 5 2 3" xfId="12425" xr:uid="{85B4E046-05E0-488C-8644-1A3D9EE002C8}"/>
    <cellStyle name="Normal 5 2 5 5 3" xfId="6048" xr:uid="{00000000-0005-0000-0000-000042190000}"/>
    <cellStyle name="Normal 5 2 5 5 3 2" xfId="14498" xr:uid="{124B5649-6F44-43F6-8C09-C9C916DB7B8F}"/>
    <cellStyle name="Normal 5 2 5 5 4" xfId="10280" xr:uid="{56EF6789-B2EF-4770-B7C8-FFE12280D5B5}"/>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39F00EA2-DF36-4256-BDB3-E072DFE25388}"/>
    <cellStyle name="Normal 5 2 5 6 2 3" xfId="12838" xr:uid="{DBD3FB21-1F11-4321-A1DA-45CA638DCF6B}"/>
    <cellStyle name="Normal 5 2 5 6 3" xfId="6461" xr:uid="{00000000-0005-0000-0000-000046190000}"/>
    <cellStyle name="Normal 5 2 5 6 3 2" xfId="14911" xr:uid="{4B47C5C4-74A2-496A-84A9-44A4CFD68ED9}"/>
    <cellStyle name="Normal 5 2 5 6 4" xfId="10693" xr:uid="{C82DD48F-DA69-4FB1-9D95-A1538484D7F4}"/>
    <cellStyle name="Normal 5 2 5 7" xfId="2591" xr:uid="{00000000-0005-0000-0000-000047190000}"/>
    <cellStyle name="Normal 5 2 5 7 2" xfId="6874" xr:uid="{00000000-0005-0000-0000-000048190000}"/>
    <cellStyle name="Normal 5 2 5 7 2 2" xfId="15324" xr:uid="{D3FB7900-E567-4FC5-8122-06A3819272AF}"/>
    <cellStyle name="Normal 5 2 5 7 3" xfId="11106" xr:uid="{F3690343-885F-4AEB-90C5-3A54C5EF7FCD}"/>
    <cellStyle name="Normal 5 2 5 8" xfId="4809" xr:uid="{00000000-0005-0000-0000-000049190000}"/>
    <cellStyle name="Normal 5 2 5 8 2" xfId="13259" xr:uid="{EFEC7B4A-9CA3-4F6F-95CF-B7D7C4D379C1}"/>
    <cellStyle name="Normal 5 2 5 9" xfId="9041" xr:uid="{1EE9293F-DAEC-433B-A311-8B26A7AD10C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6137E640-F2B7-41FD-B820-C151A251BA44}"/>
    <cellStyle name="Normal 5 2 6 2 2 3" xfId="11601" xr:uid="{03E64826-65AD-48E2-B6F1-7FBCFC9ACD0C}"/>
    <cellStyle name="Normal 5 2 6 2 3" xfId="5224" xr:uid="{00000000-0005-0000-0000-00004E190000}"/>
    <cellStyle name="Normal 5 2 6 2 3 2" xfId="13674" xr:uid="{3FFAB5E1-B7E9-4534-A904-4E09A72BFFA3}"/>
    <cellStyle name="Normal 5 2 6 2 4" xfId="9456" xr:uid="{DE394032-E5EC-40EF-BC1A-5E8BECC5C5D5}"/>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31E20967-2D0B-496F-AC51-1294935B4991}"/>
    <cellStyle name="Normal 5 2 6 3 2 3" xfId="12014" xr:uid="{1FDFBC75-6623-4980-B5C5-29E25D826E80}"/>
    <cellStyle name="Normal 5 2 6 3 3" xfId="5637" xr:uid="{00000000-0005-0000-0000-000052190000}"/>
    <cellStyle name="Normal 5 2 6 3 3 2" xfId="14087" xr:uid="{5E02EE41-F99F-4E07-BEBE-55F7667D5B27}"/>
    <cellStyle name="Normal 5 2 6 3 4" xfId="9869" xr:uid="{73410140-0237-461F-814C-CE578B75638E}"/>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BF9F56D1-EF64-4C06-B432-0C30F8062D8D}"/>
    <cellStyle name="Normal 5 2 6 4 2 3" xfId="12427" xr:uid="{3992982F-5DFD-4A07-A690-E4FEE77BAF4F}"/>
    <cellStyle name="Normal 5 2 6 4 3" xfId="6050" xr:uid="{00000000-0005-0000-0000-000056190000}"/>
    <cellStyle name="Normal 5 2 6 4 3 2" xfId="14500" xr:uid="{6A0B06BC-DF4A-4425-8CD5-974583568A80}"/>
    <cellStyle name="Normal 5 2 6 4 4" xfId="10282" xr:uid="{D0913D78-4370-43E5-B98E-CFCD6D1318DA}"/>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EF002D6A-FBA2-4176-8C29-7442A4EE3CDF}"/>
    <cellStyle name="Normal 5 2 6 5 2 3" xfId="12840" xr:uid="{AAE81E9B-8637-4599-8681-BB0C1D7A61E8}"/>
    <cellStyle name="Normal 5 2 6 5 3" xfId="6463" xr:uid="{00000000-0005-0000-0000-00005A190000}"/>
    <cellStyle name="Normal 5 2 6 5 3 2" xfId="14913" xr:uid="{5F2E24B3-2DE9-46AF-ABAD-BA77D21120FD}"/>
    <cellStyle name="Normal 5 2 6 5 4" xfId="10695" xr:uid="{57B6C215-A463-4C01-9716-88F038066DE8}"/>
    <cellStyle name="Normal 5 2 6 6" xfId="2593" xr:uid="{00000000-0005-0000-0000-00005B190000}"/>
    <cellStyle name="Normal 5 2 6 6 2" xfId="6876" xr:uid="{00000000-0005-0000-0000-00005C190000}"/>
    <cellStyle name="Normal 5 2 6 6 2 2" xfId="15326" xr:uid="{D614EAB7-D577-47F6-9E80-76C45E855CF4}"/>
    <cellStyle name="Normal 5 2 6 6 3" xfId="11108" xr:uid="{F716423A-2DED-470F-A029-2775F40F8359}"/>
    <cellStyle name="Normal 5 2 6 7" xfId="4811" xr:uid="{00000000-0005-0000-0000-00005D190000}"/>
    <cellStyle name="Normal 5 2 6 7 2" xfId="13261" xr:uid="{776AB288-E9F7-4CC1-A88C-3D2074B98EE5}"/>
    <cellStyle name="Normal 5 2 6 8" xfId="9043" xr:uid="{D328A84A-A16D-4008-8C21-9F59B0B30749}"/>
    <cellStyle name="Normal 5 2 7" xfId="881" xr:uid="{00000000-0005-0000-0000-00005E190000}"/>
    <cellStyle name="Normal 5 2 7 2" xfId="3116" xr:uid="{00000000-0005-0000-0000-00005F190000}"/>
    <cellStyle name="Normal 5 2 7 2 2" xfId="7338" xr:uid="{00000000-0005-0000-0000-000060190000}"/>
    <cellStyle name="Normal 5 2 7 2 2 2" xfId="15788" xr:uid="{2AA19E37-E9E9-4B49-BB1F-DC13CDA231FD}"/>
    <cellStyle name="Normal 5 2 7 2 3" xfId="11570" xr:uid="{77488257-6605-452D-9225-88E96253F51A}"/>
    <cellStyle name="Normal 5 2 7 3" xfId="5193" xr:uid="{00000000-0005-0000-0000-000061190000}"/>
    <cellStyle name="Normal 5 2 7 3 2" xfId="13643" xr:uid="{7BE57750-9210-4080-831A-960BB206CA2F}"/>
    <cellStyle name="Normal 5 2 7 4" xfId="9425" xr:uid="{55996865-ABE0-4515-B38E-FA080F3D3E54}"/>
    <cellStyle name="Normal 5 2 8" xfId="1299" xr:uid="{00000000-0005-0000-0000-000062190000}"/>
    <cellStyle name="Normal 5 2 8 2" xfId="3529" xr:uid="{00000000-0005-0000-0000-000063190000}"/>
    <cellStyle name="Normal 5 2 8 2 2" xfId="7751" xr:uid="{00000000-0005-0000-0000-000064190000}"/>
    <cellStyle name="Normal 5 2 8 2 2 2" xfId="16201" xr:uid="{B09C4466-6107-4927-B690-47E0F912E56A}"/>
    <cellStyle name="Normal 5 2 8 2 3" xfId="11983" xr:uid="{3C1DFA69-0B7B-46C8-9C4C-ED2357EE29BA}"/>
    <cellStyle name="Normal 5 2 8 3" xfId="5606" xr:uid="{00000000-0005-0000-0000-000065190000}"/>
    <cellStyle name="Normal 5 2 8 3 2" xfId="14056" xr:uid="{E3DFAEE7-ACF5-4023-8AB4-EE540400E559}"/>
    <cellStyle name="Normal 5 2 8 4" xfId="9838" xr:uid="{0D1ECDA9-CA51-49BB-B428-56B60DA1BD38}"/>
    <cellStyle name="Normal 5 2 9" xfId="1712" xr:uid="{00000000-0005-0000-0000-000066190000}"/>
    <cellStyle name="Normal 5 2 9 2" xfId="3942" xr:uid="{00000000-0005-0000-0000-000067190000}"/>
    <cellStyle name="Normal 5 2 9 2 2" xfId="8164" xr:uid="{00000000-0005-0000-0000-000068190000}"/>
    <cellStyle name="Normal 5 2 9 2 2 2" xfId="16614" xr:uid="{9062E708-1477-45F4-8ED7-9027E40DBE29}"/>
    <cellStyle name="Normal 5 2 9 2 3" xfId="12396" xr:uid="{DC3CE383-5529-43BE-85C0-238359286E2B}"/>
    <cellStyle name="Normal 5 2 9 3" xfId="6019" xr:uid="{00000000-0005-0000-0000-000069190000}"/>
    <cellStyle name="Normal 5 2 9 3 2" xfId="14469" xr:uid="{F8D50ACE-607B-4337-96E6-825E514A0871}"/>
    <cellStyle name="Normal 5 2 9 4" xfId="10251" xr:uid="{53603812-C088-4252-8AE1-2664BE89C6FC}"/>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07FA5BC3-173E-40EC-BA02-054FDBB8A235}"/>
    <cellStyle name="Normal 5 3 10 2 3" xfId="12841" xr:uid="{92F2350D-B0BB-4BA2-B8FA-9053DE753202}"/>
    <cellStyle name="Normal 5 3 10 3" xfId="6464" xr:uid="{00000000-0005-0000-0000-00006E190000}"/>
    <cellStyle name="Normal 5 3 10 3 2" xfId="14914" xr:uid="{30257E12-A6C3-4A9F-8AC8-510CDCE0A7B4}"/>
    <cellStyle name="Normal 5 3 10 4" xfId="10696" xr:uid="{35AB1363-3A67-45C8-A720-2EB1F0404C1E}"/>
    <cellStyle name="Normal 5 3 11" xfId="2594" xr:uid="{00000000-0005-0000-0000-00006F190000}"/>
    <cellStyle name="Normal 5 3 11 2" xfId="6877" xr:uid="{00000000-0005-0000-0000-000070190000}"/>
    <cellStyle name="Normal 5 3 11 2 2" xfId="15327" xr:uid="{CA5E5B68-0022-444E-9E7A-4A51BAFC2D6F}"/>
    <cellStyle name="Normal 5 3 11 3" xfId="11109" xr:uid="{2FCD9194-12EA-4AA6-80B4-DB39695CFB5D}"/>
    <cellStyle name="Normal 5 3 12" xfId="4812" xr:uid="{00000000-0005-0000-0000-000071190000}"/>
    <cellStyle name="Normal 5 3 12 2" xfId="13262" xr:uid="{E9EC4A35-5845-4912-BB4B-92168D63D58F}"/>
    <cellStyle name="Normal 5 3 13" xfId="9044" xr:uid="{2DEE1DB0-9C1A-4AE9-938C-A102A996B6CD}"/>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7A66A949-EE60-4E02-9598-05A443B0B9C6}"/>
    <cellStyle name="Normal 5 3 3 11" xfId="9045" xr:uid="{8C346D05-1AF7-4CEB-A9E9-55E1FFF765C4}"/>
    <cellStyle name="Normal 5 3 3 2" xfId="442" xr:uid="{00000000-0005-0000-0000-000076190000}"/>
    <cellStyle name="Normal 5 3 3 2 10" xfId="9046" xr:uid="{BEF15B7E-3C18-4192-B051-5CE3319A4B6C}"/>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7FAEF84E-8E0A-458D-825B-E40C18BBCE3F}"/>
    <cellStyle name="Normal 5 3 3 2 2 2 2 2 3" xfId="11606" xr:uid="{0AD10829-B32B-458A-88A7-BFFBEDC8F96D}"/>
    <cellStyle name="Normal 5 3 3 2 2 2 2 3" xfId="5229" xr:uid="{00000000-0005-0000-0000-00007C190000}"/>
    <cellStyle name="Normal 5 3 3 2 2 2 2 3 2" xfId="13679" xr:uid="{59670363-C0D2-4415-8DD3-37DAF6488789}"/>
    <cellStyle name="Normal 5 3 3 2 2 2 2 4" xfId="9461" xr:uid="{C42B8969-3D4F-4C6F-AF25-7E89D967804B}"/>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2BDFB337-AB47-4B65-BE06-03BD80D3C7CD}"/>
    <cellStyle name="Normal 5 3 3 2 2 2 3 2 3" xfId="12019" xr:uid="{A2419D7E-79BF-4F1E-A38E-8BABBC106824}"/>
    <cellStyle name="Normal 5 3 3 2 2 2 3 3" xfId="5642" xr:uid="{00000000-0005-0000-0000-000080190000}"/>
    <cellStyle name="Normal 5 3 3 2 2 2 3 3 2" xfId="14092" xr:uid="{E271AD73-816D-4444-8C78-877043C2B198}"/>
    <cellStyle name="Normal 5 3 3 2 2 2 3 4" xfId="9874" xr:uid="{7566B266-7B5B-465F-BB65-22E081D996D7}"/>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81DF64D3-BBF2-4AC0-80A1-B2F4B2BDADCE}"/>
    <cellStyle name="Normal 5 3 3 2 2 2 4 2 3" xfId="12432" xr:uid="{5B5B97CA-ADB3-4FDE-855D-009DD172985D}"/>
    <cellStyle name="Normal 5 3 3 2 2 2 4 3" xfId="6055" xr:uid="{00000000-0005-0000-0000-000084190000}"/>
    <cellStyle name="Normal 5 3 3 2 2 2 4 3 2" xfId="14505" xr:uid="{4F4CD8E2-F042-4910-9E09-B621C0812F19}"/>
    <cellStyle name="Normal 5 3 3 2 2 2 4 4" xfId="10287" xr:uid="{37C391D4-EC3A-4B40-87F6-D9481BED5094}"/>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7E1D84CB-C9FF-4881-9322-68DF6F1AB26B}"/>
    <cellStyle name="Normal 5 3 3 2 2 2 5 2 3" xfId="12845" xr:uid="{AF7E1C9D-5F6B-4367-8BD1-2729AF9441A0}"/>
    <cellStyle name="Normal 5 3 3 2 2 2 5 3" xfId="6468" xr:uid="{00000000-0005-0000-0000-000088190000}"/>
    <cellStyle name="Normal 5 3 3 2 2 2 5 3 2" xfId="14918" xr:uid="{13524D1F-E2E1-489A-B384-842FCC177284}"/>
    <cellStyle name="Normal 5 3 3 2 2 2 5 4" xfId="10700" xr:uid="{7CD8B0C8-8DFC-46C8-847B-7F9E0CAFFFB0}"/>
    <cellStyle name="Normal 5 3 3 2 2 2 6" xfId="2598" xr:uid="{00000000-0005-0000-0000-000089190000}"/>
    <cellStyle name="Normal 5 3 3 2 2 2 6 2" xfId="6881" xr:uid="{00000000-0005-0000-0000-00008A190000}"/>
    <cellStyle name="Normal 5 3 3 2 2 2 6 2 2" xfId="15331" xr:uid="{2757A189-E2AF-4BA2-A6C0-8CF5857A5EC1}"/>
    <cellStyle name="Normal 5 3 3 2 2 2 6 3" xfId="11113" xr:uid="{6BD1A857-A40F-4406-BEFD-3A7EDB88A450}"/>
    <cellStyle name="Normal 5 3 3 2 2 2 7" xfId="4816" xr:uid="{00000000-0005-0000-0000-00008B190000}"/>
    <cellStyle name="Normal 5 3 3 2 2 2 7 2" xfId="13266" xr:uid="{868BAE0B-8E0B-43FA-A96D-C40F2FB0F862}"/>
    <cellStyle name="Normal 5 3 3 2 2 2 8" xfId="9048" xr:uid="{7BD59A49-FA07-49F4-9ED9-059DB063C1A1}"/>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C51A4222-1DAA-488D-B579-A216A1F67BB0}"/>
    <cellStyle name="Normal 5 3 3 2 2 3 2 3" xfId="11605" xr:uid="{BCF002A6-4C92-4BA7-B0B2-44A239DBFFA6}"/>
    <cellStyle name="Normal 5 3 3 2 2 3 3" xfId="5228" xr:uid="{00000000-0005-0000-0000-00008F190000}"/>
    <cellStyle name="Normal 5 3 3 2 2 3 3 2" xfId="13678" xr:uid="{077D7BDF-F0C1-4E66-9308-80BE58FE1D59}"/>
    <cellStyle name="Normal 5 3 3 2 2 3 4" xfId="9460" xr:uid="{5AA320F3-668F-4B85-958B-738F33DEEFD9}"/>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1A2E08AE-6A22-4634-B8F6-F9C8005BF8D1}"/>
    <cellStyle name="Normal 5 3 3 2 2 4 2 3" xfId="12018" xr:uid="{729D7DB4-485E-47CB-920F-613B69B096F3}"/>
    <cellStyle name="Normal 5 3 3 2 2 4 3" xfId="5641" xr:uid="{00000000-0005-0000-0000-000093190000}"/>
    <cellStyle name="Normal 5 3 3 2 2 4 3 2" xfId="14091" xr:uid="{CD68977D-8098-4700-BB9A-4C986326C57C}"/>
    <cellStyle name="Normal 5 3 3 2 2 4 4" xfId="9873" xr:uid="{E28B0ADD-4433-4BA0-90F3-988BA5D9F07D}"/>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96013867-B5DA-4A83-A130-A6591E91EB31}"/>
    <cellStyle name="Normal 5 3 3 2 2 5 2 3" xfId="12431" xr:uid="{945D51D6-CB43-44E8-9390-44CFBF946BAB}"/>
    <cellStyle name="Normal 5 3 3 2 2 5 3" xfId="6054" xr:uid="{00000000-0005-0000-0000-000097190000}"/>
    <cellStyle name="Normal 5 3 3 2 2 5 3 2" xfId="14504" xr:uid="{C329EE80-E435-4301-9509-B333A5E17750}"/>
    <cellStyle name="Normal 5 3 3 2 2 5 4" xfId="10286" xr:uid="{0169BC35-2157-4C65-B34D-6D938ECAEE35}"/>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F164E266-D118-4CB4-96A7-F32FC3CFBD18}"/>
    <cellStyle name="Normal 5 3 3 2 2 6 2 3" xfId="12844" xr:uid="{F13583F0-E1AB-4C9E-B167-BD06257341F6}"/>
    <cellStyle name="Normal 5 3 3 2 2 6 3" xfId="6467" xr:uid="{00000000-0005-0000-0000-00009B190000}"/>
    <cellStyle name="Normal 5 3 3 2 2 6 3 2" xfId="14917" xr:uid="{35E3F872-B87D-4853-B9B3-6CF1D1CD6BF4}"/>
    <cellStyle name="Normal 5 3 3 2 2 6 4" xfId="10699" xr:uid="{B7DAB4F5-395A-4D29-A61C-F50E8AA2B9B0}"/>
    <cellStyle name="Normal 5 3 3 2 2 7" xfId="2597" xr:uid="{00000000-0005-0000-0000-00009C190000}"/>
    <cellStyle name="Normal 5 3 3 2 2 7 2" xfId="6880" xr:uid="{00000000-0005-0000-0000-00009D190000}"/>
    <cellStyle name="Normal 5 3 3 2 2 7 2 2" xfId="15330" xr:uid="{61571E40-A741-4D72-85C0-A3C5DC4C4FC8}"/>
    <cellStyle name="Normal 5 3 3 2 2 7 3" xfId="11112" xr:uid="{D957495C-1B91-48F7-86DF-F9A61471E1EE}"/>
    <cellStyle name="Normal 5 3 3 2 2 8" xfId="4815" xr:uid="{00000000-0005-0000-0000-00009E190000}"/>
    <cellStyle name="Normal 5 3 3 2 2 8 2" xfId="13265" xr:uid="{3C9A97A6-8940-47DA-9564-E9A1201F0520}"/>
    <cellStyle name="Normal 5 3 3 2 2 9" xfId="9047" xr:uid="{3363A352-5909-49CA-A08D-4E390CBDF519}"/>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A54D094E-F953-45FE-85AD-DA578D07ED43}"/>
    <cellStyle name="Normal 5 3 3 2 3 2 2 3" xfId="11607" xr:uid="{90533922-B07A-4EE7-B44D-AC23D4D96854}"/>
    <cellStyle name="Normal 5 3 3 2 3 2 3" xfId="5230" xr:uid="{00000000-0005-0000-0000-0000A3190000}"/>
    <cellStyle name="Normal 5 3 3 2 3 2 3 2" xfId="13680" xr:uid="{20884B4E-1056-48FA-A3EE-11079533202B}"/>
    <cellStyle name="Normal 5 3 3 2 3 2 4" xfId="9462" xr:uid="{85CC7479-6D21-4372-8318-5423AC05A1C5}"/>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E522F800-8043-437F-AFF9-42E43DFF033F}"/>
    <cellStyle name="Normal 5 3 3 2 3 3 2 3" xfId="12020" xr:uid="{C46E8CA7-1573-4017-B94C-71AE23ED6E23}"/>
    <cellStyle name="Normal 5 3 3 2 3 3 3" xfId="5643" xr:uid="{00000000-0005-0000-0000-0000A7190000}"/>
    <cellStyle name="Normal 5 3 3 2 3 3 3 2" xfId="14093" xr:uid="{9E1772F9-ABC2-4431-8045-6A996646C2F2}"/>
    <cellStyle name="Normal 5 3 3 2 3 3 4" xfId="9875" xr:uid="{D5C96964-EB15-44CF-8865-7DD19BE31B26}"/>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D80AF29A-3568-4625-8FF8-EC2203EA975D}"/>
    <cellStyle name="Normal 5 3 3 2 3 4 2 3" xfId="12433" xr:uid="{F8CB81BE-AC93-4178-93ED-F011ACE6AE0B}"/>
    <cellStyle name="Normal 5 3 3 2 3 4 3" xfId="6056" xr:uid="{00000000-0005-0000-0000-0000AB190000}"/>
    <cellStyle name="Normal 5 3 3 2 3 4 3 2" xfId="14506" xr:uid="{42E53EF0-8E33-4B9F-A4CD-220F0C27FD0D}"/>
    <cellStyle name="Normal 5 3 3 2 3 4 4" xfId="10288" xr:uid="{884A55AC-233D-4DE2-B4D0-07C42BC34AB3}"/>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1C855CC0-C85A-4A17-ACEF-3168BBFF6E7F}"/>
    <cellStyle name="Normal 5 3 3 2 3 5 2 3" xfId="12846" xr:uid="{D175122C-5B4C-49E5-8403-95ACA13BD5A9}"/>
    <cellStyle name="Normal 5 3 3 2 3 5 3" xfId="6469" xr:uid="{00000000-0005-0000-0000-0000AF190000}"/>
    <cellStyle name="Normal 5 3 3 2 3 5 3 2" xfId="14919" xr:uid="{59744E1B-F3A8-4A44-9A4E-4A3A2F549D0A}"/>
    <cellStyle name="Normal 5 3 3 2 3 5 4" xfId="10701" xr:uid="{45E9F55A-8BA7-481A-9398-8E7071F8859A}"/>
    <cellStyle name="Normal 5 3 3 2 3 6" xfId="2599" xr:uid="{00000000-0005-0000-0000-0000B0190000}"/>
    <cellStyle name="Normal 5 3 3 2 3 6 2" xfId="6882" xr:uid="{00000000-0005-0000-0000-0000B1190000}"/>
    <cellStyle name="Normal 5 3 3 2 3 6 2 2" xfId="15332" xr:uid="{4916D20E-A748-435A-BD15-4D6EF0B4F565}"/>
    <cellStyle name="Normal 5 3 3 2 3 6 3" xfId="11114" xr:uid="{5339E902-71A1-4234-946B-1A5C89D6B4B5}"/>
    <cellStyle name="Normal 5 3 3 2 3 7" xfId="4817" xr:uid="{00000000-0005-0000-0000-0000B2190000}"/>
    <cellStyle name="Normal 5 3 3 2 3 7 2" xfId="13267" xr:uid="{9671D565-577F-4817-845A-45EB8CBF6FAD}"/>
    <cellStyle name="Normal 5 3 3 2 3 8" xfId="9049" xr:uid="{83D2CE8B-C4E1-44E3-AB47-6963B2A2BDD2}"/>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8E3D83A7-CB4C-4EA7-8C51-888AA1DCBD0A}"/>
    <cellStyle name="Normal 5 3 3 2 4 2 3" xfId="11604" xr:uid="{97AA44D2-FA0F-45F3-BDB8-015E1095856A}"/>
    <cellStyle name="Normal 5 3 3 2 4 3" xfId="5227" xr:uid="{00000000-0005-0000-0000-0000B6190000}"/>
    <cellStyle name="Normal 5 3 3 2 4 3 2" xfId="13677" xr:uid="{D5FAF3C2-DDC8-4CE1-BC31-DA3CCD451780}"/>
    <cellStyle name="Normal 5 3 3 2 4 4" xfId="9459" xr:uid="{C067E771-28B0-4882-8734-D5577FEC40B2}"/>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A4189703-5116-4333-8DC9-E5FEEA9760BB}"/>
    <cellStyle name="Normal 5 3 3 2 5 2 3" xfId="12017" xr:uid="{7FE45E0B-95BF-4292-911B-2596A60E17E8}"/>
    <cellStyle name="Normal 5 3 3 2 5 3" xfId="5640" xr:uid="{00000000-0005-0000-0000-0000BA190000}"/>
    <cellStyle name="Normal 5 3 3 2 5 3 2" xfId="14090" xr:uid="{99E4D549-8E65-4BD5-8C76-1A7711AD0ECF}"/>
    <cellStyle name="Normal 5 3 3 2 5 4" xfId="9872" xr:uid="{7FC4C5FF-75FC-44F7-9A58-4CFAD9A8D34B}"/>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CED7E4CC-3D7D-4846-AF3D-465C530DC5CF}"/>
    <cellStyle name="Normal 5 3 3 2 6 2 3" xfId="12430" xr:uid="{3A045BF0-2B4E-4B8D-B50D-A939990E8448}"/>
    <cellStyle name="Normal 5 3 3 2 6 3" xfId="6053" xr:uid="{00000000-0005-0000-0000-0000BE190000}"/>
    <cellStyle name="Normal 5 3 3 2 6 3 2" xfId="14503" xr:uid="{F13FE4DA-D4EA-4557-8766-B5086488F437}"/>
    <cellStyle name="Normal 5 3 3 2 6 4" xfId="10285" xr:uid="{7C372790-37F3-40F6-8EFB-652999237AC4}"/>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D41190D9-A134-4EE2-92F5-C1E136425F2D}"/>
    <cellStyle name="Normal 5 3 3 2 7 2 3" xfId="12843" xr:uid="{1B9CCD71-960C-4426-8A87-59471473EE97}"/>
    <cellStyle name="Normal 5 3 3 2 7 3" xfId="6466" xr:uid="{00000000-0005-0000-0000-0000C2190000}"/>
    <cellStyle name="Normal 5 3 3 2 7 3 2" xfId="14916" xr:uid="{8CEE31FF-0CB1-45FA-A50E-A2EB20A48BC5}"/>
    <cellStyle name="Normal 5 3 3 2 7 4" xfId="10698" xr:uid="{88FCBDDC-E1EA-4861-8704-E2EEAAE3B92D}"/>
    <cellStyle name="Normal 5 3 3 2 8" xfId="2596" xr:uid="{00000000-0005-0000-0000-0000C3190000}"/>
    <cellStyle name="Normal 5 3 3 2 8 2" xfId="6879" xr:uid="{00000000-0005-0000-0000-0000C4190000}"/>
    <cellStyle name="Normal 5 3 3 2 8 2 2" xfId="15329" xr:uid="{C64F81EE-3244-47C3-96BF-C7DD50139FE8}"/>
    <cellStyle name="Normal 5 3 3 2 8 3" xfId="11111" xr:uid="{8E5805E8-924D-4EE8-8798-760D2EFF4FC4}"/>
    <cellStyle name="Normal 5 3 3 2 9" xfId="4814" xr:uid="{00000000-0005-0000-0000-0000C5190000}"/>
    <cellStyle name="Normal 5 3 3 2 9 2" xfId="13264" xr:uid="{B174B4A1-99C3-465B-B948-77276EDAB2A4}"/>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0DECFA36-3130-4EDF-9894-C1D000D83025}"/>
    <cellStyle name="Normal 5 3 3 3 2 2 2 3" xfId="11609" xr:uid="{20BD6707-DFAA-4218-A9E6-727871D6B159}"/>
    <cellStyle name="Normal 5 3 3 3 2 2 3" xfId="5232" xr:uid="{00000000-0005-0000-0000-0000CB190000}"/>
    <cellStyle name="Normal 5 3 3 3 2 2 3 2" xfId="13682" xr:uid="{928563DD-49B5-4C12-8BAD-E6190F50B60B}"/>
    <cellStyle name="Normal 5 3 3 3 2 2 4" xfId="9464" xr:uid="{A9A711FD-2538-4C10-A3F4-A6EE7AC44207}"/>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20997E0A-2C65-44CA-925E-E4BD57B883B1}"/>
    <cellStyle name="Normal 5 3 3 3 2 3 2 3" xfId="12022" xr:uid="{4B3CFB15-4133-48C5-8107-204CCF7FD047}"/>
    <cellStyle name="Normal 5 3 3 3 2 3 3" xfId="5645" xr:uid="{00000000-0005-0000-0000-0000CF190000}"/>
    <cellStyle name="Normal 5 3 3 3 2 3 3 2" xfId="14095" xr:uid="{584BC1F7-3A6D-4DA3-823F-063283CC7048}"/>
    <cellStyle name="Normal 5 3 3 3 2 3 4" xfId="9877" xr:uid="{E1B5E484-EC15-464E-A3D5-59E8C6C64CAD}"/>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EE5CD049-8D58-4501-8DD8-8420616D76CE}"/>
    <cellStyle name="Normal 5 3 3 3 2 4 2 3" xfId="12435" xr:uid="{4F4E62EF-65F1-4917-9560-7388328D7D29}"/>
    <cellStyle name="Normal 5 3 3 3 2 4 3" xfId="6058" xr:uid="{00000000-0005-0000-0000-0000D3190000}"/>
    <cellStyle name="Normal 5 3 3 3 2 4 3 2" xfId="14508" xr:uid="{0F79604D-965A-4E44-9F5D-89FF1BC9EBBF}"/>
    <cellStyle name="Normal 5 3 3 3 2 4 4" xfId="10290" xr:uid="{401FC8D7-66DC-4ACB-8D7A-869865D49CC9}"/>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A3D5443A-637B-4702-815B-40B6D516F327}"/>
    <cellStyle name="Normal 5 3 3 3 2 5 2 3" xfId="12848" xr:uid="{DA22C4F5-E56B-4D8D-B11A-220CAE02D991}"/>
    <cellStyle name="Normal 5 3 3 3 2 5 3" xfId="6471" xr:uid="{00000000-0005-0000-0000-0000D7190000}"/>
    <cellStyle name="Normal 5 3 3 3 2 5 3 2" xfId="14921" xr:uid="{E4D1035D-FCEC-4BCB-8B34-DD34029716EC}"/>
    <cellStyle name="Normal 5 3 3 3 2 5 4" xfId="10703" xr:uid="{E02F112F-590C-4073-A13C-88B7EE4D9AD7}"/>
    <cellStyle name="Normal 5 3 3 3 2 6" xfId="2601" xr:uid="{00000000-0005-0000-0000-0000D8190000}"/>
    <cellStyle name="Normal 5 3 3 3 2 6 2" xfId="6884" xr:uid="{00000000-0005-0000-0000-0000D9190000}"/>
    <cellStyle name="Normal 5 3 3 3 2 6 2 2" xfId="15334" xr:uid="{5A7A163A-A07C-48F8-856F-ABD4ACC0CA0D}"/>
    <cellStyle name="Normal 5 3 3 3 2 6 3" xfId="11116" xr:uid="{5CB8CE84-751B-4257-ADCA-B74E01DCC84C}"/>
    <cellStyle name="Normal 5 3 3 3 2 7" xfId="4819" xr:uid="{00000000-0005-0000-0000-0000DA190000}"/>
    <cellStyle name="Normal 5 3 3 3 2 7 2" xfId="13269" xr:uid="{E64EACFF-0CF5-45CC-9661-EAB3A07E2A1C}"/>
    <cellStyle name="Normal 5 3 3 3 2 8" xfId="9051" xr:uid="{A52E1E4A-EB80-4635-970A-CEC71561D1AB}"/>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C1146F5A-159D-426E-A6CA-BA0B671C153D}"/>
    <cellStyle name="Normal 5 3 3 3 3 2 3" xfId="11608" xr:uid="{0A6A90B8-1D3B-48BF-BFE4-6E45FB549BBB}"/>
    <cellStyle name="Normal 5 3 3 3 3 3" xfId="5231" xr:uid="{00000000-0005-0000-0000-0000DE190000}"/>
    <cellStyle name="Normal 5 3 3 3 3 3 2" xfId="13681" xr:uid="{76EB3097-AE69-4C71-B76C-54BB4CF3E5A7}"/>
    <cellStyle name="Normal 5 3 3 3 3 4" xfId="9463" xr:uid="{E72B6D3D-193D-4BD0-884D-AE2961FCDE26}"/>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0ABBFEDB-E445-4ECE-A740-8D888B21B7D7}"/>
    <cellStyle name="Normal 5 3 3 3 4 2 3" xfId="12021" xr:uid="{2893F70B-A077-46F5-9B68-6D189C4EACD5}"/>
    <cellStyle name="Normal 5 3 3 3 4 3" xfId="5644" xr:uid="{00000000-0005-0000-0000-0000E2190000}"/>
    <cellStyle name="Normal 5 3 3 3 4 3 2" xfId="14094" xr:uid="{F8F7AB92-9DFF-472B-8116-473821D1B38E}"/>
    <cellStyle name="Normal 5 3 3 3 4 4" xfId="9876" xr:uid="{AF5380DC-4717-4CA9-8C85-DEBBB095D51D}"/>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088CC267-4BE0-4EAF-B1C8-DD773946EACF}"/>
    <cellStyle name="Normal 5 3 3 3 5 2 3" xfId="12434" xr:uid="{380771E6-CFFF-4234-80A5-D23FB88B0086}"/>
    <cellStyle name="Normal 5 3 3 3 5 3" xfId="6057" xr:uid="{00000000-0005-0000-0000-0000E6190000}"/>
    <cellStyle name="Normal 5 3 3 3 5 3 2" xfId="14507" xr:uid="{490A5ABA-0FA0-4511-9245-BF74596EB994}"/>
    <cellStyle name="Normal 5 3 3 3 5 4" xfId="10289" xr:uid="{D410AE1A-A5A5-4651-84B6-136F91098299}"/>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340D6D1E-2F06-402C-A722-8404F1BF2E74}"/>
    <cellStyle name="Normal 5 3 3 3 6 2 3" xfId="12847" xr:uid="{B58C4037-E60F-4A6F-B1BE-136215F6D92C}"/>
    <cellStyle name="Normal 5 3 3 3 6 3" xfId="6470" xr:uid="{00000000-0005-0000-0000-0000EA190000}"/>
    <cellStyle name="Normal 5 3 3 3 6 3 2" xfId="14920" xr:uid="{1EF52747-2F6C-44F8-95A4-3223A0DDCCCA}"/>
    <cellStyle name="Normal 5 3 3 3 6 4" xfId="10702" xr:uid="{664661A6-7C59-453D-BFBB-5ADEEB3CE5A1}"/>
    <cellStyle name="Normal 5 3 3 3 7" xfId="2600" xr:uid="{00000000-0005-0000-0000-0000EB190000}"/>
    <cellStyle name="Normal 5 3 3 3 7 2" xfId="6883" xr:uid="{00000000-0005-0000-0000-0000EC190000}"/>
    <cellStyle name="Normal 5 3 3 3 7 2 2" xfId="15333" xr:uid="{E8CA779A-E44B-421A-9358-DC6E9C6E69DA}"/>
    <cellStyle name="Normal 5 3 3 3 7 3" xfId="11115" xr:uid="{D6AF85DD-8575-4FA1-9BA9-1072DE506A17}"/>
    <cellStyle name="Normal 5 3 3 3 8" xfId="4818" xr:uid="{00000000-0005-0000-0000-0000ED190000}"/>
    <cellStyle name="Normal 5 3 3 3 8 2" xfId="13268" xr:uid="{CDE7DA6F-4E65-4F79-AF0A-870FEE096ADE}"/>
    <cellStyle name="Normal 5 3 3 3 9" xfId="9050" xr:uid="{47A166B2-779F-4A63-B879-9CCB185AF463}"/>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01931BE9-E2A1-4C84-B178-8B88449A5075}"/>
    <cellStyle name="Normal 5 3 3 4 2 2 3" xfId="11610" xr:uid="{280303FF-C597-4BED-B2F6-9E39D5DED826}"/>
    <cellStyle name="Normal 5 3 3 4 2 3" xfId="5233" xr:uid="{00000000-0005-0000-0000-0000F2190000}"/>
    <cellStyle name="Normal 5 3 3 4 2 3 2" xfId="13683" xr:uid="{B3E127FE-4790-4077-81A8-31450E8D98F9}"/>
    <cellStyle name="Normal 5 3 3 4 2 4" xfId="9465" xr:uid="{0F20656B-792A-4D36-9EEB-F817A0B233F0}"/>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5047B09B-7989-472F-99ED-92972C8A663E}"/>
    <cellStyle name="Normal 5 3 3 4 3 2 3" xfId="12023" xr:uid="{A814ADC2-5212-493A-9FCE-CFD0C5E469E4}"/>
    <cellStyle name="Normal 5 3 3 4 3 3" xfId="5646" xr:uid="{00000000-0005-0000-0000-0000F6190000}"/>
    <cellStyle name="Normal 5 3 3 4 3 3 2" xfId="14096" xr:uid="{ECEA973A-1B3D-4DDF-960C-BDA206FB5CA1}"/>
    <cellStyle name="Normal 5 3 3 4 3 4" xfId="9878" xr:uid="{4BDB9B34-0A40-4B4B-8E56-5E221C9462B4}"/>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43667CBB-64F9-4240-99CD-FE96B58B81A4}"/>
    <cellStyle name="Normal 5 3 3 4 4 2 3" xfId="12436" xr:uid="{FD51D38B-BAFE-4001-870B-D5586BC2071B}"/>
    <cellStyle name="Normal 5 3 3 4 4 3" xfId="6059" xr:uid="{00000000-0005-0000-0000-0000FA190000}"/>
    <cellStyle name="Normal 5 3 3 4 4 3 2" xfId="14509" xr:uid="{CEAA6094-B1FA-4D54-A316-57D2BEB86E73}"/>
    <cellStyle name="Normal 5 3 3 4 4 4" xfId="10291" xr:uid="{308915CE-9423-4F19-90B3-3446B6A029E8}"/>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4A7E728B-B180-4CD4-BA0B-C86AB707D80D}"/>
    <cellStyle name="Normal 5 3 3 4 5 2 3" xfId="12849" xr:uid="{11D886C0-6A88-40D1-B391-02AC23BCFF4C}"/>
    <cellStyle name="Normal 5 3 3 4 5 3" xfId="6472" xr:uid="{00000000-0005-0000-0000-0000FE190000}"/>
    <cellStyle name="Normal 5 3 3 4 5 3 2" xfId="14922" xr:uid="{2D518163-BAE0-4958-BD5E-BF384375290B}"/>
    <cellStyle name="Normal 5 3 3 4 5 4" xfId="10704" xr:uid="{31ABDEB6-78A0-4115-B3FB-87A10CC8A00B}"/>
    <cellStyle name="Normal 5 3 3 4 6" xfId="2602" xr:uid="{00000000-0005-0000-0000-0000FF190000}"/>
    <cellStyle name="Normal 5 3 3 4 6 2" xfId="6885" xr:uid="{00000000-0005-0000-0000-0000001A0000}"/>
    <cellStyle name="Normal 5 3 3 4 6 2 2" xfId="15335" xr:uid="{A27D7E8D-59B1-4AB1-BF25-160C0CC028FA}"/>
    <cellStyle name="Normal 5 3 3 4 6 3" xfId="11117" xr:uid="{292A0B23-6FB4-4F27-A0FF-968814730322}"/>
    <cellStyle name="Normal 5 3 3 4 7" xfId="4820" xr:uid="{00000000-0005-0000-0000-0000011A0000}"/>
    <cellStyle name="Normal 5 3 3 4 7 2" xfId="13270" xr:uid="{F53B6969-68AA-4337-B622-FC818E378865}"/>
    <cellStyle name="Normal 5 3 3 4 8" xfId="9052" xr:uid="{B7621D75-0334-4B38-95B8-B9B36720A486}"/>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6DB5760D-D8A9-4271-BD71-840CE8CE88B9}"/>
    <cellStyle name="Normal 5 3 3 5 2 3" xfId="11603" xr:uid="{7581F15F-0223-4762-A7DC-997A7511FA3E}"/>
    <cellStyle name="Normal 5 3 3 5 3" xfId="5226" xr:uid="{00000000-0005-0000-0000-0000051A0000}"/>
    <cellStyle name="Normal 5 3 3 5 3 2" xfId="13676" xr:uid="{D15CD31A-B8C8-4779-ABE5-57174C1E2805}"/>
    <cellStyle name="Normal 5 3 3 5 4" xfId="9458" xr:uid="{4433F731-A8EF-4A79-A9CC-CF0F054B9AC5}"/>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51C08EB1-771A-473A-BBE0-3516808651FF}"/>
    <cellStyle name="Normal 5 3 3 6 2 3" xfId="12016" xr:uid="{FD613396-E43A-46E5-BBB8-DDCCAD54F239}"/>
    <cellStyle name="Normal 5 3 3 6 3" xfId="5639" xr:uid="{00000000-0005-0000-0000-0000091A0000}"/>
    <cellStyle name="Normal 5 3 3 6 3 2" xfId="14089" xr:uid="{87517609-43CD-4200-89B2-48AD267EDFB3}"/>
    <cellStyle name="Normal 5 3 3 6 4" xfId="9871" xr:uid="{8041660F-D892-4C3F-B8F3-B9E73DDBED2D}"/>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CC60F1AA-417D-4654-B058-0FE05158B2CC}"/>
    <cellStyle name="Normal 5 3 3 7 2 3" xfId="12429" xr:uid="{D13AC27E-4D2B-4BD8-96A3-84B888057D5E}"/>
    <cellStyle name="Normal 5 3 3 7 3" xfId="6052" xr:uid="{00000000-0005-0000-0000-00000D1A0000}"/>
    <cellStyle name="Normal 5 3 3 7 3 2" xfId="14502" xr:uid="{A95D43C1-53EA-4381-BD53-BB47AC51C9F9}"/>
    <cellStyle name="Normal 5 3 3 7 4" xfId="10284" xr:uid="{47320B7B-65FD-4C12-A505-D93865C0C05D}"/>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6AC11E01-BD74-4AD5-B857-59BD07D6188B}"/>
    <cellStyle name="Normal 5 3 3 8 2 3" xfId="12842" xr:uid="{01B82E3A-8DA9-4852-A1A9-D8947325AD9E}"/>
    <cellStyle name="Normal 5 3 3 8 3" xfId="6465" xr:uid="{00000000-0005-0000-0000-0000111A0000}"/>
    <cellStyle name="Normal 5 3 3 8 3 2" xfId="14915" xr:uid="{F2C4589B-5C60-42DC-B0FF-B2230DB0C98D}"/>
    <cellStyle name="Normal 5 3 3 8 4" xfId="10697" xr:uid="{2E2E3532-2B0E-4CCE-858F-ED6D05C7F98F}"/>
    <cellStyle name="Normal 5 3 3 9" xfId="2595" xr:uid="{00000000-0005-0000-0000-0000121A0000}"/>
    <cellStyle name="Normal 5 3 3 9 2" xfId="6878" xr:uid="{00000000-0005-0000-0000-0000131A0000}"/>
    <cellStyle name="Normal 5 3 3 9 2 2" xfId="15328" xr:uid="{05D4E230-5AEF-4033-809C-97EEECB7809E}"/>
    <cellStyle name="Normal 5 3 3 9 3" xfId="11110" xr:uid="{EBC03079-DDA9-4013-B0B9-B17373428615}"/>
    <cellStyle name="Normal 5 3 4" xfId="449" xr:uid="{00000000-0005-0000-0000-0000141A0000}"/>
    <cellStyle name="Normal 5 3 4 10" xfId="9053" xr:uid="{9B460BBC-6F69-47FF-9149-C251EB18847D}"/>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5DC5723B-D8D9-494E-947B-A98F6412CB42}"/>
    <cellStyle name="Normal 5 3 4 2 2 2 2 3" xfId="11613" xr:uid="{06D06A2D-F8F2-45B9-A0FD-C3A024182147}"/>
    <cellStyle name="Normal 5 3 4 2 2 2 3" xfId="5236" xr:uid="{00000000-0005-0000-0000-00001A1A0000}"/>
    <cellStyle name="Normal 5 3 4 2 2 2 3 2" xfId="13686" xr:uid="{7182B269-3EE3-4196-A931-8709EA31AA47}"/>
    <cellStyle name="Normal 5 3 4 2 2 2 4" xfId="9468" xr:uid="{46C1A71E-F3EA-4A6C-94FD-C29F50006FCF}"/>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B0300CD2-CDF0-4AE6-BEE2-AA8DF05D4991}"/>
    <cellStyle name="Normal 5 3 4 2 2 3 2 3" xfId="12026" xr:uid="{297CFEC7-1F3C-409D-9F30-4A42A56D7EC6}"/>
    <cellStyle name="Normal 5 3 4 2 2 3 3" xfId="5649" xr:uid="{00000000-0005-0000-0000-00001E1A0000}"/>
    <cellStyle name="Normal 5 3 4 2 2 3 3 2" xfId="14099" xr:uid="{FD1F4BE9-8985-47D0-9D15-2415C4BC8533}"/>
    <cellStyle name="Normal 5 3 4 2 2 3 4" xfId="9881" xr:uid="{CFF75A5B-FF7D-4B36-9262-D4D0A73474D3}"/>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F7253C9D-FD39-47DD-988E-0AC86B403CE2}"/>
    <cellStyle name="Normal 5 3 4 2 2 4 2 3" xfId="12439" xr:uid="{5D5AE794-A132-4D89-B43C-9F32A81DDE5D}"/>
    <cellStyle name="Normal 5 3 4 2 2 4 3" xfId="6062" xr:uid="{00000000-0005-0000-0000-0000221A0000}"/>
    <cellStyle name="Normal 5 3 4 2 2 4 3 2" xfId="14512" xr:uid="{33F49006-9C88-4D8C-93FE-BAAAABF2B9C1}"/>
    <cellStyle name="Normal 5 3 4 2 2 4 4" xfId="10294" xr:uid="{DC980E5C-2A49-4E66-B842-83A599D20D4A}"/>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9AC56082-EE5F-4247-8F64-6B2F10EA825F}"/>
    <cellStyle name="Normal 5 3 4 2 2 5 2 3" xfId="12852" xr:uid="{6ADB874B-579C-4502-A818-C332A89CD2BC}"/>
    <cellStyle name="Normal 5 3 4 2 2 5 3" xfId="6475" xr:uid="{00000000-0005-0000-0000-0000261A0000}"/>
    <cellStyle name="Normal 5 3 4 2 2 5 3 2" xfId="14925" xr:uid="{CFA8CBF5-DC6C-4FD4-90B5-6D850AB46624}"/>
    <cellStyle name="Normal 5 3 4 2 2 5 4" xfId="10707" xr:uid="{793C252E-3108-42CB-B316-3F72A5DE670F}"/>
    <cellStyle name="Normal 5 3 4 2 2 6" xfId="2605" xr:uid="{00000000-0005-0000-0000-0000271A0000}"/>
    <cellStyle name="Normal 5 3 4 2 2 6 2" xfId="6888" xr:uid="{00000000-0005-0000-0000-0000281A0000}"/>
    <cellStyle name="Normal 5 3 4 2 2 6 2 2" xfId="15338" xr:uid="{A878D46C-E2C5-4CC6-96FE-18DA0F774564}"/>
    <cellStyle name="Normal 5 3 4 2 2 6 3" xfId="11120" xr:uid="{65EAC52B-5DE1-441A-9533-2D9D80D15968}"/>
    <cellStyle name="Normal 5 3 4 2 2 7" xfId="4823" xr:uid="{00000000-0005-0000-0000-0000291A0000}"/>
    <cellStyle name="Normal 5 3 4 2 2 7 2" xfId="13273" xr:uid="{26C40B07-696B-4B49-BE15-AF846553D658}"/>
    <cellStyle name="Normal 5 3 4 2 2 8" xfId="9055" xr:uid="{E5BAFEA1-88FE-4F30-A4BD-448FA6A4C15F}"/>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BA7D731E-3299-44D1-A916-96581839908D}"/>
    <cellStyle name="Normal 5 3 4 2 3 2 3" xfId="11612" xr:uid="{631E1D78-2C83-4A11-AAD5-22FA05A4CCEA}"/>
    <cellStyle name="Normal 5 3 4 2 3 3" xfId="5235" xr:uid="{00000000-0005-0000-0000-00002D1A0000}"/>
    <cellStyle name="Normal 5 3 4 2 3 3 2" xfId="13685" xr:uid="{EA44F5A6-2D52-4064-AA3F-13D7B792A7EE}"/>
    <cellStyle name="Normal 5 3 4 2 3 4" xfId="9467" xr:uid="{DE5C1B73-0CD6-4999-95CD-905A75463C05}"/>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DBFF6BBC-79A7-46CE-952E-F55D8F77ECF2}"/>
    <cellStyle name="Normal 5 3 4 2 4 2 3" xfId="12025" xr:uid="{401F7202-1457-4483-8A2B-85B148BE1820}"/>
    <cellStyle name="Normal 5 3 4 2 4 3" xfId="5648" xr:uid="{00000000-0005-0000-0000-0000311A0000}"/>
    <cellStyle name="Normal 5 3 4 2 4 3 2" xfId="14098" xr:uid="{BF7D2A90-55BB-460D-8EE2-CDED8CA4988E}"/>
    <cellStyle name="Normal 5 3 4 2 4 4" xfId="9880" xr:uid="{D51B6F96-B44A-41FC-84AA-02F08E626557}"/>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C2D9A0C6-37D9-4A23-9929-51B31C72A3E6}"/>
    <cellStyle name="Normal 5 3 4 2 5 2 3" xfId="12438" xr:uid="{A55352D2-9CFB-4FE2-A6BD-EAB348F3DB11}"/>
    <cellStyle name="Normal 5 3 4 2 5 3" xfId="6061" xr:uid="{00000000-0005-0000-0000-0000351A0000}"/>
    <cellStyle name="Normal 5 3 4 2 5 3 2" xfId="14511" xr:uid="{8B46078F-F484-4FF7-A1DB-B1EB0C33E5F2}"/>
    <cellStyle name="Normal 5 3 4 2 5 4" xfId="10293" xr:uid="{893AFE6E-BBFD-400A-BB0E-C4A3182D9EA8}"/>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568BCD98-17F2-452F-9730-0747D9404037}"/>
    <cellStyle name="Normal 5 3 4 2 6 2 3" xfId="12851" xr:uid="{B0D3B717-FCA8-4497-8AA7-3ABDC793248F}"/>
    <cellStyle name="Normal 5 3 4 2 6 3" xfId="6474" xr:uid="{00000000-0005-0000-0000-0000391A0000}"/>
    <cellStyle name="Normal 5 3 4 2 6 3 2" xfId="14924" xr:uid="{48F6DD6C-57BE-4E42-8848-382887A35540}"/>
    <cellStyle name="Normal 5 3 4 2 6 4" xfId="10706" xr:uid="{B839ED2F-B6C7-4A18-AE6E-B881820A56E7}"/>
    <cellStyle name="Normal 5 3 4 2 7" xfId="2604" xr:uid="{00000000-0005-0000-0000-00003A1A0000}"/>
    <cellStyle name="Normal 5 3 4 2 7 2" xfId="6887" xr:uid="{00000000-0005-0000-0000-00003B1A0000}"/>
    <cellStyle name="Normal 5 3 4 2 7 2 2" xfId="15337" xr:uid="{1826DB35-CFE5-4168-8AAA-6BD1732DFC5B}"/>
    <cellStyle name="Normal 5 3 4 2 7 3" xfId="11119" xr:uid="{1B700700-3886-4258-97F3-38B66F53E17A}"/>
    <cellStyle name="Normal 5 3 4 2 8" xfId="4822" xr:uid="{00000000-0005-0000-0000-00003C1A0000}"/>
    <cellStyle name="Normal 5 3 4 2 8 2" xfId="13272" xr:uid="{0725A7AD-2A3A-4ACD-A6FC-9EBAE08A34C8}"/>
    <cellStyle name="Normal 5 3 4 2 9" xfId="9054" xr:uid="{E9BDB0F3-36A9-4B97-9C5B-643AFE0B7D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7E18EEE6-7D6E-4EE0-AA5D-E42C76EAB573}"/>
    <cellStyle name="Normal 5 3 4 3 2 2 3" xfId="11614" xr:uid="{FC20991D-FEC8-42A0-9096-B6969430A6C7}"/>
    <cellStyle name="Normal 5 3 4 3 2 3" xfId="5237" xr:uid="{00000000-0005-0000-0000-0000411A0000}"/>
    <cellStyle name="Normal 5 3 4 3 2 3 2" xfId="13687" xr:uid="{64630BAD-602F-4757-97A3-BF2103180DE8}"/>
    <cellStyle name="Normal 5 3 4 3 2 4" xfId="9469" xr:uid="{BEB8E795-2652-4F2F-809A-07B6F6B9C4AA}"/>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ACFBB354-F6C2-42D4-A365-F48B1F6FECCB}"/>
    <cellStyle name="Normal 5 3 4 3 3 2 3" xfId="12027" xr:uid="{D700BEE7-35F9-499B-A93D-7F25A058C026}"/>
    <cellStyle name="Normal 5 3 4 3 3 3" xfId="5650" xr:uid="{00000000-0005-0000-0000-0000451A0000}"/>
    <cellStyle name="Normal 5 3 4 3 3 3 2" xfId="14100" xr:uid="{FBC58E97-CA62-403F-8A4C-821E9FF99778}"/>
    <cellStyle name="Normal 5 3 4 3 3 4" xfId="9882" xr:uid="{C1924CF8-D656-4A09-9FFC-772BBD7CC5D5}"/>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93B6D88D-F9A5-4D47-9C06-4ECBDFE769E4}"/>
    <cellStyle name="Normal 5 3 4 3 4 2 3" xfId="12440" xr:uid="{2E0183A8-9E83-4F20-B1F2-30FDA9A24283}"/>
    <cellStyle name="Normal 5 3 4 3 4 3" xfId="6063" xr:uid="{00000000-0005-0000-0000-0000491A0000}"/>
    <cellStyle name="Normal 5 3 4 3 4 3 2" xfId="14513" xr:uid="{365FDD20-D72A-4F84-B8FC-0395A651509E}"/>
    <cellStyle name="Normal 5 3 4 3 4 4" xfId="10295" xr:uid="{B162BD88-5CA7-4470-AD8C-AA40E8AA4C9E}"/>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4E437CD0-895C-4525-BE63-9274DB6EC277}"/>
    <cellStyle name="Normal 5 3 4 3 5 2 3" xfId="12853" xr:uid="{CDBBC8D4-E11B-4703-9124-4F90D36F48D1}"/>
    <cellStyle name="Normal 5 3 4 3 5 3" xfId="6476" xr:uid="{00000000-0005-0000-0000-00004D1A0000}"/>
    <cellStyle name="Normal 5 3 4 3 5 3 2" xfId="14926" xr:uid="{B5952AAD-A155-4D42-8739-CD086C9C7AC4}"/>
    <cellStyle name="Normal 5 3 4 3 5 4" xfId="10708" xr:uid="{0996803F-7223-43D5-984D-07278C7964A6}"/>
    <cellStyle name="Normal 5 3 4 3 6" xfId="2606" xr:uid="{00000000-0005-0000-0000-00004E1A0000}"/>
    <cellStyle name="Normal 5 3 4 3 6 2" xfId="6889" xr:uid="{00000000-0005-0000-0000-00004F1A0000}"/>
    <cellStyle name="Normal 5 3 4 3 6 2 2" xfId="15339" xr:uid="{9904C891-0594-4EAD-953F-27C851766C2A}"/>
    <cellStyle name="Normal 5 3 4 3 6 3" xfId="11121" xr:uid="{2DA5AB9C-DF27-48DF-A33E-9A26BD4D659E}"/>
    <cellStyle name="Normal 5 3 4 3 7" xfId="4824" xr:uid="{00000000-0005-0000-0000-0000501A0000}"/>
    <cellStyle name="Normal 5 3 4 3 7 2" xfId="13274" xr:uid="{BEA6E256-3869-488F-A3E6-72D9B02D5811}"/>
    <cellStyle name="Normal 5 3 4 3 8" xfId="9056" xr:uid="{C8B16010-CC13-4B38-9033-0CE619C41B52}"/>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64E401F1-DD31-4C68-B0D8-AAB049BDD5E2}"/>
    <cellStyle name="Normal 5 3 4 4 2 3" xfId="11611" xr:uid="{302B8AC1-A7C8-477C-8762-F64C23539130}"/>
    <cellStyle name="Normal 5 3 4 4 3" xfId="5234" xr:uid="{00000000-0005-0000-0000-0000541A0000}"/>
    <cellStyle name="Normal 5 3 4 4 3 2" xfId="13684" xr:uid="{817CDFEA-6352-49EF-B453-E055646B04BD}"/>
    <cellStyle name="Normal 5 3 4 4 4" xfId="9466" xr:uid="{A706C349-26CD-4C56-B280-254C3E2165D5}"/>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A94FA765-78DE-4FD2-8F30-DD1BDA269C1C}"/>
    <cellStyle name="Normal 5 3 4 5 2 3" xfId="12024" xr:uid="{49D176B3-6291-4AFF-9F47-C514DE2D419C}"/>
    <cellStyle name="Normal 5 3 4 5 3" xfId="5647" xr:uid="{00000000-0005-0000-0000-0000581A0000}"/>
    <cellStyle name="Normal 5 3 4 5 3 2" xfId="14097" xr:uid="{29B4ABBC-468A-476E-A217-D5828BE6BBCD}"/>
    <cellStyle name="Normal 5 3 4 5 4" xfId="9879" xr:uid="{45CA4273-27B8-4669-9A4A-F9C11915E0CC}"/>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E6819FB3-C039-47BE-9308-24EA09EBDE2B}"/>
    <cellStyle name="Normal 5 3 4 6 2 3" xfId="12437" xr:uid="{52DB8046-5ED1-4CD8-B824-7C376CD38138}"/>
    <cellStyle name="Normal 5 3 4 6 3" xfId="6060" xr:uid="{00000000-0005-0000-0000-00005C1A0000}"/>
    <cellStyle name="Normal 5 3 4 6 3 2" xfId="14510" xr:uid="{E4DF0266-137B-40DB-825A-3A1EE29CFD91}"/>
    <cellStyle name="Normal 5 3 4 6 4" xfId="10292" xr:uid="{BF0F9D8E-A2AE-4829-B0A9-7DF1184E9E89}"/>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3FCC111E-6297-4A68-B746-D4987270B9BE}"/>
    <cellStyle name="Normal 5 3 4 7 2 3" xfId="12850" xr:uid="{69B28832-DA55-4776-916A-77AE5F576A2B}"/>
    <cellStyle name="Normal 5 3 4 7 3" xfId="6473" xr:uid="{00000000-0005-0000-0000-0000601A0000}"/>
    <cellStyle name="Normal 5 3 4 7 3 2" xfId="14923" xr:uid="{8428F262-D80C-4823-98FB-AA85DED7E56E}"/>
    <cellStyle name="Normal 5 3 4 7 4" xfId="10705" xr:uid="{2B4D0249-4736-4A09-BA00-24A96033FD8C}"/>
    <cellStyle name="Normal 5 3 4 8" xfId="2603" xr:uid="{00000000-0005-0000-0000-0000611A0000}"/>
    <cellStyle name="Normal 5 3 4 8 2" xfId="6886" xr:uid="{00000000-0005-0000-0000-0000621A0000}"/>
    <cellStyle name="Normal 5 3 4 8 2 2" xfId="15336" xr:uid="{D4F5F925-9876-4BB2-8014-22691D96B54A}"/>
    <cellStyle name="Normal 5 3 4 8 3" xfId="11118" xr:uid="{0F3FABE2-3BA1-4193-AE0F-2FF25D02DEBD}"/>
    <cellStyle name="Normal 5 3 4 9" xfId="4821" xr:uid="{00000000-0005-0000-0000-0000631A0000}"/>
    <cellStyle name="Normal 5 3 4 9 2" xfId="13271" xr:uid="{079D6E29-5149-461B-B721-CB9C1211239E}"/>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365E03A2-84F8-4418-BCBD-9BE85CBF1C63}"/>
    <cellStyle name="Normal 5 3 5 2 2 2 3" xfId="11616" xr:uid="{4D35DE99-D615-407E-B062-BFBA590B01D6}"/>
    <cellStyle name="Normal 5 3 5 2 2 3" xfId="5239" xr:uid="{00000000-0005-0000-0000-0000691A0000}"/>
    <cellStyle name="Normal 5 3 5 2 2 3 2" xfId="13689" xr:uid="{19979AFC-7579-4367-A9FF-A154328671D6}"/>
    <cellStyle name="Normal 5 3 5 2 2 4" xfId="9471" xr:uid="{0548CA17-CE08-49CA-91FD-4E685DBA9DE1}"/>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053A55F7-FC87-4452-BE76-B40B4224F70B}"/>
    <cellStyle name="Normal 5 3 5 2 3 2 3" xfId="12029" xr:uid="{E98A51D3-8B49-40F1-A809-6EF178F83197}"/>
    <cellStyle name="Normal 5 3 5 2 3 3" xfId="5652" xr:uid="{00000000-0005-0000-0000-00006D1A0000}"/>
    <cellStyle name="Normal 5 3 5 2 3 3 2" xfId="14102" xr:uid="{C450DAE0-86FB-4062-A03A-F51E7168CA79}"/>
    <cellStyle name="Normal 5 3 5 2 3 4" xfId="9884" xr:uid="{EDB4BC39-CA41-4822-9108-3E71D92ED0C6}"/>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45836AFE-C175-40BC-867C-26746F72EE82}"/>
    <cellStyle name="Normal 5 3 5 2 4 2 3" xfId="12442" xr:uid="{5245DD5C-52BB-4135-B298-1B3FC4F7265D}"/>
    <cellStyle name="Normal 5 3 5 2 4 3" xfId="6065" xr:uid="{00000000-0005-0000-0000-0000711A0000}"/>
    <cellStyle name="Normal 5 3 5 2 4 3 2" xfId="14515" xr:uid="{99EBFAD1-07EE-4113-B9D4-482C52543C85}"/>
    <cellStyle name="Normal 5 3 5 2 4 4" xfId="10297" xr:uid="{F864D63E-0B2D-4A86-B8F1-0B0AF8CA9D1E}"/>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0380ADB5-9CC5-482B-8944-2057CDB0C0AE}"/>
    <cellStyle name="Normal 5 3 5 2 5 2 3" xfId="12855" xr:uid="{CA8CCA13-8ADE-4E70-A48B-503710477C08}"/>
    <cellStyle name="Normal 5 3 5 2 5 3" xfId="6478" xr:uid="{00000000-0005-0000-0000-0000751A0000}"/>
    <cellStyle name="Normal 5 3 5 2 5 3 2" xfId="14928" xr:uid="{6198A6BA-8EEB-47F3-A976-8A6E61E6081B}"/>
    <cellStyle name="Normal 5 3 5 2 5 4" xfId="10710" xr:uid="{98E0079A-5D02-4DF3-B537-91B5D47B83A1}"/>
    <cellStyle name="Normal 5 3 5 2 6" xfId="2608" xr:uid="{00000000-0005-0000-0000-0000761A0000}"/>
    <cellStyle name="Normal 5 3 5 2 6 2" xfId="6891" xr:uid="{00000000-0005-0000-0000-0000771A0000}"/>
    <cellStyle name="Normal 5 3 5 2 6 2 2" xfId="15341" xr:uid="{7877D36C-7FAA-40E1-8B22-C20797201C75}"/>
    <cellStyle name="Normal 5 3 5 2 6 3" xfId="11123" xr:uid="{EB7264B4-1618-4594-B9DB-4819C821E6DD}"/>
    <cellStyle name="Normal 5 3 5 2 7" xfId="4826" xr:uid="{00000000-0005-0000-0000-0000781A0000}"/>
    <cellStyle name="Normal 5 3 5 2 7 2" xfId="13276" xr:uid="{338C81DA-43CF-4A1A-9777-ACBC062CAD47}"/>
    <cellStyle name="Normal 5 3 5 2 8" xfId="9058" xr:uid="{0BC233E5-7B55-4CFB-A1A6-DF07D2146684}"/>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3A9747D2-5633-4C7F-871B-1E895964ED35}"/>
    <cellStyle name="Normal 5 3 5 3 2 3" xfId="11615" xr:uid="{44A0318E-2864-4136-9CBA-33201B7CC84B}"/>
    <cellStyle name="Normal 5 3 5 3 3" xfId="5238" xr:uid="{00000000-0005-0000-0000-00007C1A0000}"/>
    <cellStyle name="Normal 5 3 5 3 3 2" xfId="13688" xr:uid="{9275CDF2-B224-4F5F-AB84-0545F0124C8F}"/>
    <cellStyle name="Normal 5 3 5 3 4" xfId="9470" xr:uid="{735389C3-0628-417E-9EE9-E41680741F01}"/>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7DD1D237-81B0-4314-AC5B-1D88CB8F90C2}"/>
    <cellStyle name="Normal 5 3 5 4 2 3" xfId="12028" xr:uid="{7ECB0A9B-F1E3-4831-A70B-7B7C705DC022}"/>
    <cellStyle name="Normal 5 3 5 4 3" xfId="5651" xr:uid="{00000000-0005-0000-0000-0000801A0000}"/>
    <cellStyle name="Normal 5 3 5 4 3 2" xfId="14101" xr:uid="{8A3CAC8A-183A-4D3E-8A20-86F73D0EC7CC}"/>
    <cellStyle name="Normal 5 3 5 4 4" xfId="9883" xr:uid="{275010B2-D14B-4AF4-A47D-027EADFA0A05}"/>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EEACF5FE-4870-49B9-9017-63896D0E65A8}"/>
    <cellStyle name="Normal 5 3 5 5 2 3" xfId="12441" xr:uid="{1B89DABA-1169-441A-B0C7-8F3639503E85}"/>
    <cellStyle name="Normal 5 3 5 5 3" xfId="6064" xr:uid="{00000000-0005-0000-0000-0000841A0000}"/>
    <cellStyle name="Normal 5 3 5 5 3 2" xfId="14514" xr:uid="{B00D6614-EA42-4824-A3DD-48FE85624922}"/>
    <cellStyle name="Normal 5 3 5 5 4" xfId="10296" xr:uid="{20129903-7AFB-4F6E-B12D-2B629187D222}"/>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B581A1D2-DA5D-46F3-A7EA-4DD368AC19B2}"/>
    <cellStyle name="Normal 5 3 5 6 2 3" xfId="12854" xr:uid="{90BBB585-BC71-4463-AC02-969527005A9C}"/>
    <cellStyle name="Normal 5 3 5 6 3" xfId="6477" xr:uid="{00000000-0005-0000-0000-0000881A0000}"/>
    <cellStyle name="Normal 5 3 5 6 3 2" xfId="14927" xr:uid="{680B273D-CD24-4F43-A6E8-22E12E593E8E}"/>
    <cellStyle name="Normal 5 3 5 6 4" xfId="10709" xr:uid="{A8310166-4A53-43D2-8119-EA7E29027458}"/>
    <cellStyle name="Normal 5 3 5 7" xfId="2607" xr:uid="{00000000-0005-0000-0000-0000891A0000}"/>
    <cellStyle name="Normal 5 3 5 7 2" xfId="6890" xr:uid="{00000000-0005-0000-0000-00008A1A0000}"/>
    <cellStyle name="Normal 5 3 5 7 2 2" xfId="15340" xr:uid="{906B65C7-2B34-4BEB-B44A-856C5D02BA1D}"/>
    <cellStyle name="Normal 5 3 5 7 3" xfId="11122" xr:uid="{ACC2B485-75E9-4D7D-A982-5BCA2EB3CF05}"/>
    <cellStyle name="Normal 5 3 5 8" xfId="4825" xr:uid="{00000000-0005-0000-0000-00008B1A0000}"/>
    <cellStyle name="Normal 5 3 5 8 2" xfId="13275" xr:uid="{AF9B7C03-0468-4D34-B083-9DD8D9F38F06}"/>
    <cellStyle name="Normal 5 3 5 9" xfId="9057" xr:uid="{40B1181B-0FEE-46CE-8C10-837E178A8157}"/>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7DD230E2-60DB-45F0-9A03-FEE57160C916}"/>
    <cellStyle name="Normal 5 3 6 2 2 3" xfId="11617" xr:uid="{0CCE4D61-43B9-46BC-A93E-046EF3BB01BB}"/>
    <cellStyle name="Normal 5 3 6 2 3" xfId="5240" xr:uid="{00000000-0005-0000-0000-0000901A0000}"/>
    <cellStyle name="Normal 5 3 6 2 3 2" xfId="13690" xr:uid="{EE82A103-5FFA-4E6A-82A4-F9179E800449}"/>
    <cellStyle name="Normal 5 3 6 2 4" xfId="9472" xr:uid="{82D13284-CEA0-499E-A7D2-C70421557A79}"/>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A812E7E8-9FBD-4BEA-AC55-44328BF0C669}"/>
    <cellStyle name="Normal 5 3 6 3 2 3" xfId="12030" xr:uid="{65409C8F-5302-41B7-B634-77EC37EFF33B}"/>
    <cellStyle name="Normal 5 3 6 3 3" xfId="5653" xr:uid="{00000000-0005-0000-0000-0000941A0000}"/>
    <cellStyle name="Normal 5 3 6 3 3 2" xfId="14103" xr:uid="{41768554-FB61-43FB-8A6B-3B9F6EC6EAAF}"/>
    <cellStyle name="Normal 5 3 6 3 4" xfId="9885" xr:uid="{BAE4DEA9-358C-4435-8FF8-45233998B0F1}"/>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47FAF3D9-0434-4A07-AAD6-0FAAA886A13F}"/>
    <cellStyle name="Normal 5 3 6 4 2 3" xfId="12443" xr:uid="{0E2CB2D5-4EF9-472D-B616-56E7B6BDF60D}"/>
    <cellStyle name="Normal 5 3 6 4 3" xfId="6066" xr:uid="{00000000-0005-0000-0000-0000981A0000}"/>
    <cellStyle name="Normal 5 3 6 4 3 2" xfId="14516" xr:uid="{F1EA6BD4-83B8-403F-B475-D8E13F6204AD}"/>
    <cellStyle name="Normal 5 3 6 4 4" xfId="10298" xr:uid="{8DA93F64-8F33-45E2-8346-7055A41AD5C8}"/>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DE3E59CE-E6EA-4635-A15B-24ECC0336702}"/>
    <cellStyle name="Normal 5 3 6 5 2 3" xfId="12856" xr:uid="{ED3FBAAB-B1A6-4F8D-9B79-DE4BEFAE4ADA}"/>
    <cellStyle name="Normal 5 3 6 5 3" xfId="6479" xr:uid="{00000000-0005-0000-0000-00009C1A0000}"/>
    <cellStyle name="Normal 5 3 6 5 3 2" xfId="14929" xr:uid="{74056B59-EA7E-4278-BDA4-51AA48FF18F1}"/>
    <cellStyle name="Normal 5 3 6 5 4" xfId="10711" xr:uid="{0B3D4B5C-06C0-4D1E-BD35-19A7FF1AE870}"/>
    <cellStyle name="Normal 5 3 6 6" xfId="2609" xr:uid="{00000000-0005-0000-0000-00009D1A0000}"/>
    <cellStyle name="Normal 5 3 6 6 2" xfId="6892" xr:uid="{00000000-0005-0000-0000-00009E1A0000}"/>
    <cellStyle name="Normal 5 3 6 6 2 2" xfId="15342" xr:uid="{5F8E0204-9D0E-42F7-9180-2C1CEFF18C69}"/>
    <cellStyle name="Normal 5 3 6 6 3" xfId="11124" xr:uid="{9AEC48A8-5F73-44AB-A71B-B0EAC4D142BA}"/>
    <cellStyle name="Normal 5 3 6 7" xfId="4827" xr:uid="{00000000-0005-0000-0000-00009F1A0000}"/>
    <cellStyle name="Normal 5 3 6 7 2" xfId="13277" xr:uid="{88D3E025-9AF9-43B0-B468-886C59A19E8D}"/>
    <cellStyle name="Normal 5 3 6 8" xfId="9059" xr:uid="{6983B8FF-8BBB-4B7F-8EAD-180BD230BABA}"/>
    <cellStyle name="Normal 5 3 7" xfId="913" xr:uid="{00000000-0005-0000-0000-0000A01A0000}"/>
    <cellStyle name="Normal 5 3 7 2" xfId="3148" xr:uid="{00000000-0005-0000-0000-0000A11A0000}"/>
    <cellStyle name="Normal 5 3 7 2 2" xfId="7370" xr:uid="{00000000-0005-0000-0000-0000A21A0000}"/>
    <cellStyle name="Normal 5 3 7 2 2 2" xfId="15820" xr:uid="{AB056C20-B8A0-42A2-9C8D-932C779FF460}"/>
    <cellStyle name="Normal 5 3 7 2 3" xfId="11602" xr:uid="{EB989745-729E-4390-AC7F-E6EE2D7574E2}"/>
    <cellStyle name="Normal 5 3 7 3" xfId="5225" xr:uid="{00000000-0005-0000-0000-0000A31A0000}"/>
    <cellStyle name="Normal 5 3 7 3 2" xfId="13675" xr:uid="{624DDCDD-F01B-498D-BC61-8D245CCB6CDB}"/>
    <cellStyle name="Normal 5 3 7 4" xfId="9457" xr:uid="{98080389-6203-4010-86E0-63985EBF5CA2}"/>
    <cellStyle name="Normal 5 3 8" xfId="1331" xr:uid="{00000000-0005-0000-0000-0000A41A0000}"/>
    <cellStyle name="Normal 5 3 8 2" xfId="3561" xr:uid="{00000000-0005-0000-0000-0000A51A0000}"/>
    <cellStyle name="Normal 5 3 8 2 2" xfId="7783" xr:uid="{00000000-0005-0000-0000-0000A61A0000}"/>
    <cellStyle name="Normal 5 3 8 2 2 2" xfId="16233" xr:uid="{B71BF386-DFA8-437A-ACE2-6E52D2C45DCE}"/>
    <cellStyle name="Normal 5 3 8 2 3" xfId="12015" xr:uid="{A4A5F5C1-B534-4C87-A1DD-65FDBC4926E1}"/>
    <cellStyle name="Normal 5 3 8 3" xfId="5638" xr:uid="{00000000-0005-0000-0000-0000A71A0000}"/>
    <cellStyle name="Normal 5 3 8 3 2" xfId="14088" xr:uid="{066F6CF4-1966-4FFE-9C0C-17989AAFDD26}"/>
    <cellStyle name="Normal 5 3 8 4" xfId="9870" xr:uid="{8D394552-96EC-4460-8B9D-3BB6771138DE}"/>
    <cellStyle name="Normal 5 3 9" xfId="1744" xr:uid="{00000000-0005-0000-0000-0000A81A0000}"/>
    <cellStyle name="Normal 5 3 9 2" xfId="3974" xr:uid="{00000000-0005-0000-0000-0000A91A0000}"/>
    <cellStyle name="Normal 5 3 9 2 2" xfId="8196" xr:uid="{00000000-0005-0000-0000-0000AA1A0000}"/>
    <cellStyle name="Normal 5 3 9 2 2 2" xfId="16646" xr:uid="{7DA4F3D2-2EFD-4CBB-8526-23F45A181B32}"/>
    <cellStyle name="Normal 5 3 9 2 3" xfId="12428" xr:uid="{558C9338-6264-48E5-804A-D17FE1E7FD9D}"/>
    <cellStyle name="Normal 5 3 9 3" xfId="6051" xr:uid="{00000000-0005-0000-0000-0000AB1A0000}"/>
    <cellStyle name="Normal 5 3 9 3 2" xfId="14501" xr:uid="{831B3A77-CF77-43E6-A3BE-3A6388533E1E}"/>
    <cellStyle name="Normal 5 3 9 4" xfId="10283" xr:uid="{C9298D41-20E9-4B0E-AC15-5B3109697E0A}"/>
    <cellStyle name="Normal 5 4" xfId="456" xr:uid="{00000000-0005-0000-0000-0000AC1A0000}"/>
    <cellStyle name="Normal 5 4 10" xfId="4828" xr:uid="{00000000-0005-0000-0000-0000AD1A0000}"/>
    <cellStyle name="Normal 5 4 10 2" xfId="13278" xr:uid="{110C7972-0802-47AC-8599-88AED1FE5A8C}"/>
    <cellStyle name="Normal 5 4 11" xfId="9060" xr:uid="{0CB9F8C7-7069-45DE-BF65-7DE9CD5CD8E5}"/>
    <cellStyle name="Normal 5 4 2" xfId="457" xr:uid="{00000000-0005-0000-0000-0000AE1A0000}"/>
    <cellStyle name="Normal 5 4 2 10" xfId="9061" xr:uid="{76E44962-68C8-45E1-8E9C-DC0024E74A4C}"/>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A1B49F1C-0F40-4C2B-BED8-6F67E72FE84B}"/>
    <cellStyle name="Normal 5 4 2 2 2 2 2 3" xfId="11621" xr:uid="{8E562376-E134-4328-98E8-B51DDA064483}"/>
    <cellStyle name="Normal 5 4 2 2 2 2 3" xfId="5244" xr:uid="{00000000-0005-0000-0000-0000B41A0000}"/>
    <cellStyle name="Normal 5 4 2 2 2 2 3 2" xfId="13694" xr:uid="{3341F6E0-7BB9-4575-88B6-8B00EEDDD03F}"/>
    <cellStyle name="Normal 5 4 2 2 2 2 4" xfId="9476" xr:uid="{ADA4B6AC-9127-4A1C-B0AE-99CA77E2ACEB}"/>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589AD3AA-F8C2-42E8-B02D-650FDE07AF6F}"/>
    <cellStyle name="Normal 5 4 2 2 2 3 2 3" xfId="12034" xr:uid="{438EA038-CAC6-4EC8-8EF6-DC4D6A2900CB}"/>
    <cellStyle name="Normal 5 4 2 2 2 3 3" xfId="5657" xr:uid="{00000000-0005-0000-0000-0000B81A0000}"/>
    <cellStyle name="Normal 5 4 2 2 2 3 3 2" xfId="14107" xr:uid="{3B536D20-47DF-45AE-8AE2-590E0876CA79}"/>
    <cellStyle name="Normal 5 4 2 2 2 3 4" xfId="9889" xr:uid="{FAF917CB-21A9-4D06-9793-F6E6192B7BBC}"/>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B2DFC4FC-5E72-4B63-84F0-F11409190C53}"/>
    <cellStyle name="Normal 5 4 2 2 2 4 2 3" xfId="12447" xr:uid="{CA29BD11-1F07-4429-9F9B-F12FD3A3AEA4}"/>
    <cellStyle name="Normal 5 4 2 2 2 4 3" xfId="6070" xr:uid="{00000000-0005-0000-0000-0000BC1A0000}"/>
    <cellStyle name="Normal 5 4 2 2 2 4 3 2" xfId="14520" xr:uid="{24D944E7-3166-419D-900C-CAB841CFB62D}"/>
    <cellStyle name="Normal 5 4 2 2 2 4 4" xfId="10302" xr:uid="{D552F23F-90B3-46BA-A5E9-9DEBBC21D898}"/>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FC93CBC0-FFA1-46B4-93BC-15CD9A81CB12}"/>
    <cellStyle name="Normal 5 4 2 2 2 5 2 3" xfId="12860" xr:uid="{EEB06135-171A-4DDA-B0ED-BE2104D2A70C}"/>
    <cellStyle name="Normal 5 4 2 2 2 5 3" xfId="6483" xr:uid="{00000000-0005-0000-0000-0000C01A0000}"/>
    <cellStyle name="Normal 5 4 2 2 2 5 3 2" xfId="14933" xr:uid="{C1D4E9CA-6BB2-4A1C-AAAB-8D64E676ED90}"/>
    <cellStyle name="Normal 5 4 2 2 2 5 4" xfId="10715" xr:uid="{E6386511-CD68-45F9-BB56-78EFB3D0D185}"/>
    <cellStyle name="Normal 5 4 2 2 2 6" xfId="2613" xr:uid="{00000000-0005-0000-0000-0000C11A0000}"/>
    <cellStyle name="Normal 5 4 2 2 2 6 2" xfId="6896" xr:uid="{00000000-0005-0000-0000-0000C21A0000}"/>
    <cellStyle name="Normal 5 4 2 2 2 6 2 2" xfId="15346" xr:uid="{1E152D74-DC4C-4D3A-A13A-333F67CB3BE3}"/>
    <cellStyle name="Normal 5 4 2 2 2 6 3" xfId="11128" xr:uid="{ED5E6A24-5F60-4852-AF5F-A8E006779572}"/>
    <cellStyle name="Normal 5 4 2 2 2 7" xfId="4831" xr:uid="{00000000-0005-0000-0000-0000C31A0000}"/>
    <cellStyle name="Normal 5 4 2 2 2 7 2" xfId="13281" xr:uid="{D91FD032-8DFF-417C-A2E1-66D25960F90F}"/>
    <cellStyle name="Normal 5 4 2 2 2 8" xfId="9063" xr:uid="{B6CDBDD9-D542-4B1A-8DDD-37FBDC75B2C1}"/>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A42D2E62-157A-479F-9198-2722E8D6EAB0}"/>
    <cellStyle name="Normal 5 4 2 2 3 2 3" xfId="11620" xr:uid="{F3410FF6-2E27-4606-869C-3E636B272A13}"/>
    <cellStyle name="Normal 5 4 2 2 3 3" xfId="5243" xr:uid="{00000000-0005-0000-0000-0000C71A0000}"/>
    <cellStyle name="Normal 5 4 2 2 3 3 2" xfId="13693" xr:uid="{A16C1D8B-4437-487F-8896-D1635164AA04}"/>
    <cellStyle name="Normal 5 4 2 2 3 4" xfId="9475" xr:uid="{EE875D4B-DCD2-4B31-9152-B9EA74D17EF4}"/>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D7954B6D-1208-45E6-9737-E4CD3655BFAF}"/>
    <cellStyle name="Normal 5 4 2 2 4 2 3" xfId="12033" xr:uid="{E146B8DE-203E-4C5C-A94E-D06C8B94929A}"/>
    <cellStyle name="Normal 5 4 2 2 4 3" xfId="5656" xr:uid="{00000000-0005-0000-0000-0000CB1A0000}"/>
    <cellStyle name="Normal 5 4 2 2 4 3 2" xfId="14106" xr:uid="{379794E4-F10B-4F3B-8E22-83142E0ECD13}"/>
    <cellStyle name="Normal 5 4 2 2 4 4" xfId="9888" xr:uid="{3368CFBB-9C06-40EB-8941-69FDDFDF6DC6}"/>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2CEBC449-5949-47CF-914F-88DC4FE3B0E8}"/>
    <cellStyle name="Normal 5 4 2 2 5 2 3" xfId="12446" xr:uid="{8A70CD6F-A06D-49F2-82FD-47A71BD9A8DD}"/>
    <cellStyle name="Normal 5 4 2 2 5 3" xfId="6069" xr:uid="{00000000-0005-0000-0000-0000CF1A0000}"/>
    <cellStyle name="Normal 5 4 2 2 5 3 2" xfId="14519" xr:uid="{4ADBDCAB-2AF4-4027-8716-ECDB70923D0F}"/>
    <cellStyle name="Normal 5 4 2 2 5 4" xfId="10301" xr:uid="{0AA4732A-482F-4A7A-916B-2E8DFA44337C}"/>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6ACF6E68-6568-4544-9D92-EF2A4F4FAA5F}"/>
    <cellStyle name="Normal 5 4 2 2 6 2 3" xfId="12859" xr:uid="{432B930C-3FF9-4BA7-998F-B790CAB4244E}"/>
    <cellStyle name="Normal 5 4 2 2 6 3" xfId="6482" xr:uid="{00000000-0005-0000-0000-0000D31A0000}"/>
    <cellStyle name="Normal 5 4 2 2 6 3 2" xfId="14932" xr:uid="{4624550A-9B06-4EED-AD12-0B134061B087}"/>
    <cellStyle name="Normal 5 4 2 2 6 4" xfId="10714" xr:uid="{A9F60EF9-10E2-4102-80D2-E9FB31008A5C}"/>
    <cellStyle name="Normal 5 4 2 2 7" xfId="2612" xr:uid="{00000000-0005-0000-0000-0000D41A0000}"/>
    <cellStyle name="Normal 5 4 2 2 7 2" xfId="6895" xr:uid="{00000000-0005-0000-0000-0000D51A0000}"/>
    <cellStyle name="Normal 5 4 2 2 7 2 2" xfId="15345" xr:uid="{E21788C9-0EA4-47CC-9A9F-A072264618C2}"/>
    <cellStyle name="Normal 5 4 2 2 7 3" xfId="11127" xr:uid="{58EA5530-8743-45E3-A7C5-B698B15F9AB1}"/>
    <cellStyle name="Normal 5 4 2 2 8" xfId="4830" xr:uid="{00000000-0005-0000-0000-0000D61A0000}"/>
    <cellStyle name="Normal 5 4 2 2 8 2" xfId="13280" xr:uid="{F037AC54-8EBB-4CBA-B1C3-4283087328B2}"/>
    <cellStyle name="Normal 5 4 2 2 9" xfId="9062" xr:uid="{23FD8568-4CEA-4803-90E4-7F7F345D81C9}"/>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B91E2D11-2759-40F7-81E4-A6C3540B6B4A}"/>
    <cellStyle name="Normal 5 4 2 3 2 2 3" xfId="11622" xr:uid="{78879F1C-58C8-4167-B753-111D6A7789A7}"/>
    <cellStyle name="Normal 5 4 2 3 2 3" xfId="5245" xr:uid="{00000000-0005-0000-0000-0000DB1A0000}"/>
    <cellStyle name="Normal 5 4 2 3 2 3 2" xfId="13695" xr:uid="{24216EDB-5F8E-4DCE-96D5-9B5F3A78A873}"/>
    <cellStyle name="Normal 5 4 2 3 2 4" xfId="9477" xr:uid="{874187FC-C6B9-480E-BC12-F11B1FF04E04}"/>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58622AD5-E206-469E-952D-CDE519788A7C}"/>
    <cellStyle name="Normal 5 4 2 3 3 2 3" xfId="12035" xr:uid="{53C68991-58A6-40EC-BE77-B573D5D22751}"/>
    <cellStyle name="Normal 5 4 2 3 3 3" xfId="5658" xr:uid="{00000000-0005-0000-0000-0000DF1A0000}"/>
    <cellStyle name="Normal 5 4 2 3 3 3 2" xfId="14108" xr:uid="{C08DC0AB-BDD2-493B-90B0-80C485F55A15}"/>
    <cellStyle name="Normal 5 4 2 3 3 4" xfId="9890" xr:uid="{25D0D291-8C66-4AE1-AFE0-8E601740C9BB}"/>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594C0BF9-A0F0-49B8-9EC7-7D5AA035150E}"/>
    <cellStyle name="Normal 5 4 2 3 4 2 3" xfId="12448" xr:uid="{0636EAFF-6623-4C56-8192-38743ADF2894}"/>
    <cellStyle name="Normal 5 4 2 3 4 3" xfId="6071" xr:uid="{00000000-0005-0000-0000-0000E31A0000}"/>
    <cellStyle name="Normal 5 4 2 3 4 3 2" xfId="14521" xr:uid="{80FAA1D5-34F6-42DD-B5EE-C59165C68890}"/>
    <cellStyle name="Normal 5 4 2 3 4 4" xfId="10303" xr:uid="{B74F6463-2628-4130-B31A-751A1F4A81AF}"/>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F17F11F6-2B1E-46DF-9655-229183AC53DF}"/>
    <cellStyle name="Normal 5 4 2 3 5 2 3" xfId="12861" xr:uid="{448A2713-D5EA-4FED-B989-E0D0B53EE85E}"/>
    <cellStyle name="Normal 5 4 2 3 5 3" xfId="6484" xr:uid="{00000000-0005-0000-0000-0000E71A0000}"/>
    <cellStyle name="Normal 5 4 2 3 5 3 2" xfId="14934" xr:uid="{A5C50DB0-CAE0-4E95-8174-F10C1277E1A2}"/>
    <cellStyle name="Normal 5 4 2 3 5 4" xfId="10716" xr:uid="{DEDFEC76-ED30-4029-92AF-15FF9296CCFA}"/>
    <cellStyle name="Normal 5 4 2 3 6" xfId="2614" xr:uid="{00000000-0005-0000-0000-0000E81A0000}"/>
    <cellStyle name="Normal 5 4 2 3 6 2" xfId="6897" xr:uid="{00000000-0005-0000-0000-0000E91A0000}"/>
    <cellStyle name="Normal 5 4 2 3 6 2 2" xfId="15347" xr:uid="{3B850CCF-DF5D-47F7-B96F-1CB4F6E4CCA4}"/>
    <cellStyle name="Normal 5 4 2 3 6 3" xfId="11129" xr:uid="{F68E1C74-31BA-4825-B23F-711717D838E2}"/>
    <cellStyle name="Normal 5 4 2 3 7" xfId="4832" xr:uid="{00000000-0005-0000-0000-0000EA1A0000}"/>
    <cellStyle name="Normal 5 4 2 3 7 2" xfId="13282" xr:uid="{E3BA2589-FDAB-4438-AC80-8245AEC7ECBA}"/>
    <cellStyle name="Normal 5 4 2 3 8" xfId="9064" xr:uid="{B3FF077D-1CA3-4ECC-834C-79AA9172B078}"/>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05A05F16-321F-415E-A50B-575B5D961486}"/>
    <cellStyle name="Normal 5 4 2 4 2 3" xfId="11619" xr:uid="{D660EE9A-4C1D-4157-AF33-C2EAFAC72C35}"/>
    <cellStyle name="Normal 5 4 2 4 3" xfId="5242" xr:uid="{00000000-0005-0000-0000-0000EE1A0000}"/>
    <cellStyle name="Normal 5 4 2 4 3 2" xfId="13692" xr:uid="{16304F2D-EA31-4CBA-932C-E4C3D0C29419}"/>
    <cellStyle name="Normal 5 4 2 4 4" xfId="9474" xr:uid="{B029250E-36E1-4B09-A8A4-63DB02503843}"/>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73E2E7D2-62AF-4E1C-A2AF-65B041062A71}"/>
    <cellStyle name="Normal 5 4 2 5 2 3" xfId="12032" xr:uid="{2223B889-EB40-4138-9DD6-5FBDB704B2BA}"/>
    <cellStyle name="Normal 5 4 2 5 3" xfId="5655" xr:uid="{00000000-0005-0000-0000-0000F21A0000}"/>
    <cellStyle name="Normal 5 4 2 5 3 2" xfId="14105" xr:uid="{0602F1E0-906A-462D-949C-66C238CFC752}"/>
    <cellStyle name="Normal 5 4 2 5 4" xfId="9887" xr:uid="{72E26B74-83E2-439F-9CDC-1EF6D7E7D6CD}"/>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B4FAB1FB-E975-492F-AC6C-C1BFBF3DA7E7}"/>
    <cellStyle name="Normal 5 4 2 6 2 3" xfId="12445" xr:uid="{E99A21E8-EF29-4FB1-BCBD-CC133CE1FF76}"/>
    <cellStyle name="Normal 5 4 2 6 3" xfId="6068" xr:uid="{00000000-0005-0000-0000-0000F61A0000}"/>
    <cellStyle name="Normal 5 4 2 6 3 2" xfId="14518" xr:uid="{FA14A08F-88EA-4EE1-868E-9D5EE8B0ECCD}"/>
    <cellStyle name="Normal 5 4 2 6 4" xfId="10300" xr:uid="{4E281427-5370-4695-A673-12B5E929F0D7}"/>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676DD53D-D85F-4C48-B6C9-F3C34C68AE8B}"/>
    <cellStyle name="Normal 5 4 2 7 2 3" xfId="12858" xr:uid="{7A88444A-AC99-46EA-AC76-B0CCBD038EF1}"/>
    <cellStyle name="Normal 5 4 2 7 3" xfId="6481" xr:uid="{00000000-0005-0000-0000-0000FA1A0000}"/>
    <cellStyle name="Normal 5 4 2 7 3 2" xfId="14931" xr:uid="{6E0C3F8E-A4C2-4208-93DE-36BD0F1D2EC6}"/>
    <cellStyle name="Normal 5 4 2 7 4" xfId="10713" xr:uid="{A7DBF749-1415-4E07-9918-14275EE7CFCC}"/>
    <cellStyle name="Normal 5 4 2 8" xfId="2611" xr:uid="{00000000-0005-0000-0000-0000FB1A0000}"/>
    <cellStyle name="Normal 5 4 2 8 2" xfId="6894" xr:uid="{00000000-0005-0000-0000-0000FC1A0000}"/>
    <cellStyle name="Normal 5 4 2 8 2 2" xfId="15344" xr:uid="{30C943D0-A557-4255-87F5-CC92B2E1282F}"/>
    <cellStyle name="Normal 5 4 2 8 3" xfId="11126" xr:uid="{815A4AFC-9C8E-43F0-A895-26406F7C71BA}"/>
    <cellStyle name="Normal 5 4 2 9" xfId="4829" xr:uid="{00000000-0005-0000-0000-0000FD1A0000}"/>
    <cellStyle name="Normal 5 4 2 9 2" xfId="13279" xr:uid="{1D08C317-EFFE-493E-8E14-9D4005333B99}"/>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9ECB3EBD-C6CD-4B6C-A2ED-1440ADBCD639}"/>
    <cellStyle name="Normal 5 4 3 2 2 2 3" xfId="11624" xr:uid="{45F39DA7-2507-4A15-970F-BD09110FC9E8}"/>
    <cellStyle name="Normal 5 4 3 2 2 3" xfId="5247" xr:uid="{00000000-0005-0000-0000-0000031B0000}"/>
    <cellStyle name="Normal 5 4 3 2 2 3 2" xfId="13697" xr:uid="{B385157A-0B77-4620-B3E2-6068D95957B5}"/>
    <cellStyle name="Normal 5 4 3 2 2 4" xfId="9479" xr:uid="{1E62D150-93FA-473D-8D3C-9141A4A67508}"/>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3515516F-E764-447A-B933-F37CAD4B88DD}"/>
    <cellStyle name="Normal 5 4 3 2 3 2 3" xfId="12037" xr:uid="{4BE6E686-BF12-4085-9BD5-AA61BDBDBA15}"/>
    <cellStyle name="Normal 5 4 3 2 3 3" xfId="5660" xr:uid="{00000000-0005-0000-0000-0000071B0000}"/>
    <cellStyle name="Normal 5 4 3 2 3 3 2" xfId="14110" xr:uid="{18582F13-72D3-4787-B497-703C5646A3D6}"/>
    <cellStyle name="Normal 5 4 3 2 3 4" xfId="9892" xr:uid="{0D7B9629-A0B6-45A9-8DC9-FA1152621B0D}"/>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095BA92D-EA21-4B68-8FC8-8321E0197D60}"/>
    <cellStyle name="Normal 5 4 3 2 4 2 3" xfId="12450" xr:uid="{F039364F-92F0-4CB8-9D96-AEB91F9B1170}"/>
    <cellStyle name="Normal 5 4 3 2 4 3" xfId="6073" xr:uid="{00000000-0005-0000-0000-00000B1B0000}"/>
    <cellStyle name="Normal 5 4 3 2 4 3 2" xfId="14523" xr:uid="{A44272B3-30BB-4779-A2F0-C88EB37C308E}"/>
    <cellStyle name="Normal 5 4 3 2 4 4" xfId="10305" xr:uid="{F19BD7DB-AC85-47C8-866D-94286C9FBF46}"/>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A0523C58-A302-4467-9155-598A9213406E}"/>
    <cellStyle name="Normal 5 4 3 2 5 2 3" xfId="12863" xr:uid="{BDD12B66-C7A4-43DC-B97D-74986F0996DB}"/>
    <cellStyle name="Normal 5 4 3 2 5 3" xfId="6486" xr:uid="{00000000-0005-0000-0000-00000F1B0000}"/>
    <cellStyle name="Normal 5 4 3 2 5 3 2" xfId="14936" xr:uid="{F7264687-B5CE-41B3-B8F7-5D90651F8FF2}"/>
    <cellStyle name="Normal 5 4 3 2 5 4" xfId="10718" xr:uid="{69EDC55C-0F66-433B-9922-3946B561D131}"/>
    <cellStyle name="Normal 5 4 3 2 6" xfId="2616" xr:uid="{00000000-0005-0000-0000-0000101B0000}"/>
    <cellStyle name="Normal 5 4 3 2 6 2" xfId="6899" xr:uid="{00000000-0005-0000-0000-0000111B0000}"/>
    <cellStyle name="Normal 5 4 3 2 6 2 2" xfId="15349" xr:uid="{040BB2F7-F94F-4823-BF06-FB7286820367}"/>
    <cellStyle name="Normal 5 4 3 2 6 3" xfId="11131" xr:uid="{61C83C2F-2ECE-4B14-9E34-A40B435B4AC9}"/>
    <cellStyle name="Normal 5 4 3 2 7" xfId="4834" xr:uid="{00000000-0005-0000-0000-0000121B0000}"/>
    <cellStyle name="Normal 5 4 3 2 7 2" xfId="13284" xr:uid="{CF8B4ED9-17D3-4209-A1A6-2D487FC3D96A}"/>
    <cellStyle name="Normal 5 4 3 2 8" xfId="9066" xr:uid="{B095D9B2-A35E-43D9-9100-C31FBF7A8098}"/>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C27670DC-0C44-4E9A-A6A8-A50A56B1121B}"/>
    <cellStyle name="Normal 5 4 3 3 2 3" xfId="11623" xr:uid="{223217AA-F3C3-4DB2-ADF3-D91651A43857}"/>
    <cellStyle name="Normal 5 4 3 3 3" xfId="5246" xr:uid="{00000000-0005-0000-0000-0000161B0000}"/>
    <cellStyle name="Normal 5 4 3 3 3 2" xfId="13696" xr:uid="{A528373D-CE25-44DE-A1F7-1FA35B9672A9}"/>
    <cellStyle name="Normal 5 4 3 3 4" xfId="9478" xr:uid="{3D5CA5A7-D8D1-48B3-957B-1839540B4C84}"/>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79F296B3-8889-4B17-9F5A-B3A537153E2D}"/>
    <cellStyle name="Normal 5 4 3 4 2 3" xfId="12036" xr:uid="{497D68CC-F0D5-4482-83A8-47AB70828A25}"/>
    <cellStyle name="Normal 5 4 3 4 3" xfId="5659" xr:uid="{00000000-0005-0000-0000-00001A1B0000}"/>
    <cellStyle name="Normal 5 4 3 4 3 2" xfId="14109" xr:uid="{EE361BE0-42A9-4793-B4F9-0ACEC10E18B5}"/>
    <cellStyle name="Normal 5 4 3 4 4" xfId="9891" xr:uid="{8240408B-E4C9-4A0E-8AF3-CE0639AEE87B}"/>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A196A9BF-909A-4CAC-82EF-A6A6ADBFE75A}"/>
    <cellStyle name="Normal 5 4 3 5 2 3" xfId="12449" xr:uid="{93BCDCA2-13EA-4A4C-B5C6-C764131677FD}"/>
    <cellStyle name="Normal 5 4 3 5 3" xfId="6072" xr:uid="{00000000-0005-0000-0000-00001E1B0000}"/>
    <cellStyle name="Normal 5 4 3 5 3 2" xfId="14522" xr:uid="{F792AD25-DDC9-4144-A2AB-CC4C6D4DA5AA}"/>
    <cellStyle name="Normal 5 4 3 5 4" xfId="10304" xr:uid="{60A74B5E-2BA1-41FF-8E54-2B34320290C0}"/>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11D8C642-1680-4DBA-A38E-6033AF9EF2A3}"/>
    <cellStyle name="Normal 5 4 3 6 2 3" xfId="12862" xr:uid="{EF0EE0EB-1E34-43F6-BF46-A6A0FE598ACF}"/>
    <cellStyle name="Normal 5 4 3 6 3" xfId="6485" xr:uid="{00000000-0005-0000-0000-0000221B0000}"/>
    <cellStyle name="Normal 5 4 3 6 3 2" xfId="14935" xr:uid="{7F4B3D6B-275E-4849-B46C-4DA7B5A98E4A}"/>
    <cellStyle name="Normal 5 4 3 6 4" xfId="10717" xr:uid="{05556BDD-9B53-4A3C-8DD3-DCE10302DA2A}"/>
    <cellStyle name="Normal 5 4 3 7" xfId="2615" xr:uid="{00000000-0005-0000-0000-0000231B0000}"/>
    <cellStyle name="Normal 5 4 3 7 2" xfId="6898" xr:uid="{00000000-0005-0000-0000-0000241B0000}"/>
    <cellStyle name="Normal 5 4 3 7 2 2" xfId="15348" xr:uid="{32C5EA05-F552-4B24-AF0F-76973D32E405}"/>
    <cellStyle name="Normal 5 4 3 7 3" xfId="11130" xr:uid="{9E4328CC-BE33-407A-B6EF-3D1D83B0E8CB}"/>
    <cellStyle name="Normal 5 4 3 8" xfId="4833" xr:uid="{00000000-0005-0000-0000-0000251B0000}"/>
    <cellStyle name="Normal 5 4 3 8 2" xfId="13283" xr:uid="{D7611267-6972-4D45-90CD-41AC64382249}"/>
    <cellStyle name="Normal 5 4 3 9" xfId="9065" xr:uid="{6C5CA875-6953-47B9-B709-CAFADA57DDDB}"/>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D2D5F0A3-5579-49FB-BEDF-6C996DF15307}"/>
    <cellStyle name="Normal 5 4 4 2 2 3" xfId="11625" xr:uid="{29950B91-C49F-4FD1-BD7D-5BAEE43FCC3E}"/>
    <cellStyle name="Normal 5 4 4 2 3" xfId="5248" xr:uid="{00000000-0005-0000-0000-00002A1B0000}"/>
    <cellStyle name="Normal 5 4 4 2 3 2" xfId="13698" xr:uid="{9930EA46-EA98-4F5B-A6BA-9064E337054F}"/>
    <cellStyle name="Normal 5 4 4 2 4" xfId="9480" xr:uid="{94C87959-B857-4D95-8C46-BF6656082F55}"/>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F370E8C8-BDA5-4D53-97F7-7CCB7DF11A42}"/>
    <cellStyle name="Normal 5 4 4 3 2 3" xfId="12038" xr:uid="{B05BDEEE-3141-4EF2-82CF-03631649AFB6}"/>
    <cellStyle name="Normal 5 4 4 3 3" xfId="5661" xr:uid="{00000000-0005-0000-0000-00002E1B0000}"/>
    <cellStyle name="Normal 5 4 4 3 3 2" xfId="14111" xr:uid="{A4051DAE-397D-4F17-9072-0E85E6B13AF6}"/>
    <cellStyle name="Normal 5 4 4 3 4" xfId="9893" xr:uid="{49993DF5-59BF-43D7-A315-FC3CB237C853}"/>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CFBC1976-0F5D-4643-86CD-764895ACB49C}"/>
    <cellStyle name="Normal 5 4 4 4 2 3" xfId="12451" xr:uid="{4C2C6F17-F15B-4447-868C-87C7C6C98452}"/>
    <cellStyle name="Normal 5 4 4 4 3" xfId="6074" xr:uid="{00000000-0005-0000-0000-0000321B0000}"/>
    <cellStyle name="Normal 5 4 4 4 3 2" xfId="14524" xr:uid="{9F6AA5FA-002E-48F2-AFCB-A84765D33986}"/>
    <cellStyle name="Normal 5 4 4 4 4" xfId="10306" xr:uid="{0060B18C-3657-48F1-9485-EEF395B3F572}"/>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2371B1E9-4604-4B44-AF22-F0AEC9CA1310}"/>
    <cellStyle name="Normal 5 4 4 5 2 3" xfId="12864" xr:uid="{7067A2E7-E5F8-49C8-B11B-0214CAE85110}"/>
    <cellStyle name="Normal 5 4 4 5 3" xfId="6487" xr:uid="{00000000-0005-0000-0000-0000361B0000}"/>
    <cellStyle name="Normal 5 4 4 5 3 2" xfId="14937" xr:uid="{32D24B5D-992E-48FE-AE14-49A8A8325CB4}"/>
    <cellStyle name="Normal 5 4 4 5 4" xfId="10719" xr:uid="{441B3C68-981A-4BE3-8128-2F1C857013B7}"/>
    <cellStyle name="Normal 5 4 4 6" xfId="2617" xr:uid="{00000000-0005-0000-0000-0000371B0000}"/>
    <cellStyle name="Normal 5 4 4 6 2" xfId="6900" xr:uid="{00000000-0005-0000-0000-0000381B0000}"/>
    <cellStyle name="Normal 5 4 4 6 2 2" xfId="15350" xr:uid="{C2836B74-3340-4CE3-8BE9-72B28ACA487A}"/>
    <cellStyle name="Normal 5 4 4 6 3" xfId="11132" xr:uid="{C96DEE97-F56D-4847-B578-8AAC9806795D}"/>
    <cellStyle name="Normal 5 4 4 7" xfId="4835" xr:uid="{00000000-0005-0000-0000-0000391B0000}"/>
    <cellStyle name="Normal 5 4 4 7 2" xfId="13285" xr:uid="{34ADDECD-3A6B-4B0B-87DB-3350A89BF1B1}"/>
    <cellStyle name="Normal 5 4 4 8" xfId="9067" xr:uid="{C784D5FF-9C41-48FE-9E22-68716D0A8AFC}"/>
    <cellStyle name="Normal 5 4 5" xfId="930" xr:uid="{00000000-0005-0000-0000-00003A1B0000}"/>
    <cellStyle name="Normal 5 4 5 2" xfId="3164" xr:uid="{00000000-0005-0000-0000-00003B1B0000}"/>
    <cellStyle name="Normal 5 4 5 2 2" xfId="7386" xr:uid="{00000000-0005-0000-0000-00003C1B0000}"/>
    <cellStyle name="Normal 5 4 5 2 2 2" xfId="15836" xr:uid="{8145ABC9-7E15-46AD-8F56-51C11A7F1C5D}"/>
    <cellStyle name="Normal 5 4 5 2 3" xfId="11618" xr:uid="{2B8375C0-F0B3-4307-ABD5-2604E30480F6}"/>
    <cellStyle name="Normal 5 4 5 3" xfId="5241" xr:uid="{00000000-0005-0000-0000-00003D1B0000}"/>
    <cellStyle name="Normal 5 4 5 3 2" xfId="13691" xr:uid="{2B0D2D9B-5628-4899-82C3-3AF25D606169}"/>
    <cellStyle name="Normal 5 4 5 4" xfId="9473" xr:uid="{036B5EC2-813F-4850-B03F-2165BD1D3165}"/>
    <cellStyle name="Normal 5 4 6" xfId="1347" xr:uid="{00000000-0005-0000-0000-00003E1B0000}"/>
    <cellStyle name="Normal 5 4 6 2" xfId="3577" xr:uid="{00000000-0005-0000-0000-00003F1B0000}"/>
    <cellStyle name="Normal 5 4 6 2 2" xfId="7799" xr:uid="{00000000-0005-0000-0000-0000401B0000}"/>
    <cellStyle name="Normal 5 4 6 2 2 2" xfId="16249" xr:uid="{20C1B2BC-0ECA-469F-BC36-A7AAC81B9952}"/>
    <cellStyle name="Normal 5 4 6 2 3" xfId="12031" xr:uid="{4A71264B-1613-48EE-9117-3117C4D9ED68}"/>
    <cellStyle name="Normal 5 4 6 3" xfId="5654" xr:uid="{00000000-0005-0000-0000-0000411B0000}"/>
    <cellStyle name="Normal 5 4 6 3 2" xfId="14104" xr:uid="{B2F85D4C-9B8B-4704-AE40-5AFC3F19FBDC}"/>
    <cellStyle name="Normal 5 4 6 4" xfId="9886" xr:uid="{B4A4904F-692C-4B73-AC4B-93AE5DB318D0}"/>
    <cellStyle name="Normal 5 4 7" xfId="1760" xr:uid="{00000000-0005-0000-0000-0000421B0000}"/>
    <cellStyle name="Normal 5 4 7 2" xfId="3990" xr:uid="{00000000-0005-0000-0000-0000431B0000}"/>
    <cellStyle name="Normal 5 4 7 2 2" xfId="8212" xr:uid="{00000000-0005-0000-0000-0000441B0000}"/>
    <cellStyle name="Normal 5 4 7 2 2 2" xfId="16662" xr:uid="{513A4492-3260-4906-A9C0-6F27E04A7247}"/>
    <cellStyle name="Normal 5 4 7 2 3" xfId="12444" xr:uid="{2D54DAA1-5671-4219-ADFB-93DF4CD889ED}"/>
    <cellStyle name="Normal 5 4 7 3" xfId="6067" xr:uid="{00000000-0005-0000-0000-0000451B0000}"/>
    <cellStyle name="Normal 5 4 7 3 2" xfId="14517" xr:uid="{7311AEAA-4339-48A4-9290-90269D76441F}"/>
    <cellStyle name="Normal 5 4 7 4" xfId="10299" xr:uid="{AC3C034B-EEE1-4CB2-ADA3-4910BCE05E25}"/>
    <cellStyle name="Normal 5 4 8" xfId="2174" xr:uid="{00000000-0005-0000-0000-0000461B0000}"/>
    <cellStyle name="Normal 5 4 8 2" xfId="4403" xr:uid="{00000000-0005-0000-0000-0000471B0000}"/>
    <cellStyle name="Normal 5 4 8 2 2" xfId="8625" xr:uid="{00000000-0005-0000-0000-0000481B0000}"/>
    <cellStyle name="Normal 5 4 8 2 2 2" xfId="17075" xr:uid="{6152757D-4A78-4211-8527-15D1D8495A6A}"/>
    <cellStyle name="Normal 5 4 8 2 3" xfId="12857" xr:uid="{08C38993-C9D5-4AAC-9741-ED9DF3D7F2BA}"/>
    <cellStyle name="Normal 5 4 8 3" xfId="6480" xr:uid="{00000000-0005-0000-0000-0000491B0000}"/>
    <cellStyle name="Normal 5 4 8 3 2" xfId="14930" xr:uid="{8732A75B-AF1E-4816-9847-1165945339FD}"/>
    <cellStyle name="Normal 5 4 8 4" xfId="10712" xr:uid="{4DA16451-F3B3-419C-8417-9F747B7DF12F}"/>
    <cellStyle name="Normal 5 4 9" xfId="2610" xr:uid="{00000000-0005-0000-0000-00004A1B0000}"/>
    <cellStyle name="Normal 5 4 9 2" xfId="6893" xr:uid="{00000000-0005-0000-0000-00004B1B0000}"/>
    <cellStyle name="Normal 5 4 9 2 2" xfId="15343" xr:uid="{15D67592-4F6A-422B-8D78-6B3470ABD6A9}"/>
    <cellStyle name="Normal 5 4 9 3" xfId="11125" xr:uid="{7F2F944D-3FC1-4E70-85BD-ADC7E9029885}"/>
    <cellStyle name="Normal 5 5" xfId="464" xr:uid="{00000000-0005-0000-0000-00004C1B0000}"/>
    <cellStyle name="Normal 5 5 10" xfId="9068" xr:uid="{52FD4264-9333-4CCF-B674-E674C4309FF3}"/>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D74F127E-E2C0-4E26-9F6D-4EF689615240}"/>
    <cellStyle name="Normal 5 5 2 2 2 2 3" xfId="11628" xr:uid="{FE964638-3B03-4074-B28D-22C199745A1B}"/>
    <cellStyle name="Normal 5 5 2 2 2 3" xfId="5251" xr:uid="{00000000-0005-0000-0000-0000521B0000}"/>
    <cellStyle name="Normal 5 5 2 2 2 3 2" xfId="13701" xr:uid="{D9E87E64-0C8D-4CF4-943E-4CF43C12016E}"/>
    <cellStyle name="Normal 5 5 2 2 2 4" xfId="9483" xr:uid="{F0C64A74-A1EC-4473-9808-BC62D9BAD3CF}"/>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A9933CFC-80D7-46F8-83C3-C1A5CE3787F4}"/>
    <cellStyle name="Normal 5 5 2 2 3 2 3" xfId="12041" xr:uid="{760BBDC9-20F7-4D40-96EC-2E6BFF7DCBDF}"/>
    <cellStyle name="Normal 5 5 2 2 3 3" xfId="5664" xr:uid="{00000000-0005-0000-0000-0000561B0000}"/>
    <cellStyle name="Normal 5 5 2 2 3 3 2" xfId="14114" xr:uid="{07548DA4-6973-47FD-A9C9-779DB447D600}"/>
    <cellStyle name="Normal 5 5 2 2 3 4" xfId="9896" xr:uid="{DE2E14A5-C3C3-4D57-84AA-2182AD075808}"/>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140E5F7E-0E5E-4F51-BC59-090663800858}"/>
    <cellStyle name="Normal 5 5 2 2 4 2 3" xfId="12454" xr:uid="{8B792895-9037-484D-8AF4-69400E719C74}"/>
    <cellStyle name="Normal 5 5 2 2 4 3" xfId="6077" xr:uid="{00000000-0005-0000-0000-00005A1B0000}"/>
    <cellStyle name="Normal 5 5 2 2 4 3 2" xfId="14527" xr:uid="{8475BA32-849C-40A0-A118-42EA27AC412D}"/>
    <cellStyle name="Normal 5 5 2 2 4 4" xfId="10309" xr:uid="{95CDBE18-13A2-4B00-9673-2C97B07129B7}"/>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A9B07ADA-DD95-4428-9813-B64358642722}"/>
    <cellStyle name="Normal 5 5 2 2 5 2 3" xfId="12867" xr:uid="{3415C0EB-812D-42E7-BC28-B59D70CAE91B}"/>
    <cellStyle name="Normal 5 5 2 2 5 3" xfId="6490" xr:uid="{00000000-0005-0000-0000-00005E1B0000}"/>
    <cellStyle name="Normal 5 5 2 2 5 3 2" xfId="14940" xr:uid="{71071272-BF25-40F9-87C5-BD2E7747BA2D}"/>
    <cellStyle name="Normal 5 5 2 2 5 4" xfId="10722" xr:uid="{6AADD8BD-FBBF-4EA7-BB92-E8221D51801D}"/>
    <cellStyle name="Normal 5 5 2 2 6" xfId="2620" xr:uid="{00000000-0005-0000-0000-00005F1B0000}"/>
    <cellStyle name="Normal 5 5 2 2 6 2" xfId="6903" xr:uid="{00000000-0005-0000-0000-0000601B0000}"/>
    <cellStyle name="Normal 5 5 2 2 6 2 2" xfId="15353" xr:uid="{A009A87F-E6A2-40AD-90A9-012A996BD914}"/>
    <cellStyle name="Normal 5 5 2 2 6 3" xfId="11135" xr:uid="{3CAF91E6-28F7-4822-8F0B-742E134A5B5A}"/>
    <cellStyle name="Normal 5 5 2 2 7" xfId="4838" xr:uid="{00000000-0005-0000-0000-0000611B0000}"/>
    <cellStyle name="Normal 5 5 2 2 7 2" xfId="13288" xr:uid="{CE5E369F-FCD6-4C8B-B175-F31DB4E7E080}"/>
    <cellStyle name="Normal 5 5 2 2 8" xfId="9070" xr:uid="{8ECFB956-116E-4294-9BDB-D144919E01C1}"/>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56FEF08D-2B6F-4A11-9C44-8F57015B0C47}"/>
    <cellStyle name="Normal 5 5 2 3 2 3" xfId="11627" xr:uid="{E26605E0-55D1-4C72-8D88-4677B570999C}"/>
    <cellStyle name="Normal 5 5 2 3 3" xfId="5250" xr:uid="{00000000-0005-0000-0000-0000651B0000}"/>
    <cellStyle name="Normal 5 5 2 3 3 2" xfId="13700" xr:uid="{BC651D4B-6532-4956-B827-674D74543E4E}"/>
    <cellStyle name="Normal 5 5 2 3 4" xfId="9482" xr:uid="{D5033C9B-F15B-4024-8D87-42154FCFF665}"/>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707EF80A-5014-4F48-B77D-02BBB018455B}"/>
    <cellStyle name="Normal 5 5 2 4 2 3" xfId="12040" xr:uid="{9193B43D-C71B-41AB-A55E-5376B8C98232}"/>
    <cellStyle name="Normal 5 5 2 4 3" xfId="5663" xr:uid="{00000000-0005-0000-0000-0000691B0000}"/>
    <cellStyle name="Normal 5 5 2 4 3 2" xfId="14113" xr:uid="{766FD936-26E4-4B08-BDBF-AEE28C76C81C}"/>
    <cellStyle name="Normal 5 5 2 4 4" xfId="9895" xr:uid="{4A6F0686-13ED-4535-B765-B279649628BC}"/>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A0CD0A6F-72E9-4627-B6E4-A641E6C81D6D}"/>
    <cellStyle name="Normal 5 5 2 5 2 3" xfId="12453" xr:uid="{E5A4454F-0642-4597-B31C-55ADF78CCDB8}"/>
    <cellStyle name="Normal 5 5 2 5 3" xfId="6076" xr:uid="{00000000-0005-0000-0000-00006D1B0000}"/>
    <cellStyle name="Normal 5 5 2 5 3 2" xfId="14526" xr:uid="{696737D2-567D-49F2-955A-8B148B99479C}"/>
    <cellStyle name="Normal 5 5 2 5 4" xfId="10308" xr:uid="{1A49577A-8347-496C-8FE6-F9EB9559E240}"/>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12002343-AAC1-4A88-8C29-665C09A87DCC}"/>
    <cellStyle name="Normal 5 5 2 6 2 3" xfId="12866" xr:uid="{2E5D0B97-4902-42FD-A261-72EA3DEFA8BC}"/>
    <cellStyle name="Normal 5 5 2 6 3" xfId="6489" xr:uid="{00000000-0005-0000-0000-0000711B0000}"/>
    <cellStyle name="Normal 5 5 2 6 3 2" xfId="14939" xr:uid="{2BD61E1C-372B-4665-B64F-BDFEE95E27C6}"/>
    <cellStyle name="Normal 5 5 2 6 4" xfId="10721" xr:uid="{312602E5-3709-4BE7-ACF7-11AEB66CA725}"/>
    <cellStyle name="Normal 5 5 2 7" xfId="2619" xr:uid="{00000000-0005-0000-0000-0000721B0000}"/>
    <cellStyle name="Normal 5 5 2 7 2" xfId="6902" xr:uid="{00000000-0005-0000-0000-0000731B0000}"/>
    <cellStyle name="Normal 5 5 2 7 2 2" xfId="15352" xr:uid="{907F17EF-AF9D-4FEF-B1EA-33125A1F1CD1}"/>
    <cellStyle name="Normal 5 5 2 7 3" xfId="11134" xr:uid="{F6F5894B-0695-46BD-A3E5-1989BAF33E34}"/>
    <cellStyle name="Normal 5 5 2 8" xfId="4837" xr:uid="{00000000-0005-0000-0000-0000741B0000}"/>
    <cellStyle name="Normal 5 5 2 8 2" xfId="13287" xr:uid="{C9762461-77F5-4581-B660-7C86D641EAE1}"/>
    <cellStyle name="Normal 5 5 2 9" xfId="9069" xr:uid="{5C549724-9299-4630-B4AB-97C89F27DA11}"/>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F2DDEA6B-FE90-4016-B731-5A29C76CA143}"/>
    <cellStyle name="Normal 5 5 3 2 2 3" xfId="11629" xr:uid="{7E6E9C22-06CD-4C45-B66E-20336196F138}"/>
    <cellStyle name="Normal 5 5 3 2 3" xfId="5252" xr:uid="{00000000-0005-0000-0000-0000791B0000}"/>
    <cellStyle name="Normal 5 5 3 2 3 2" xfId="13702" xr:uid="{84129F5A-4B40-4EE2-B6F2-97BD3DAE1C1B}"/>
    <cellStyle name="Normal 5 5 3 2 4" xfId="9484" xr:uid="{62F9191C-506B-460B-B643-0FBAF4AD65FC}"/>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D0DDE91A-557C-4927-BE3D-7DEFC3C20E6E}"/>
    <cellStyle name="Normal 5 5 3 3 2 3" xfId="12042" xr:uid="{97847681-AEBF-416B-8910-7E05D53D5CA3}"/>
    <cellStyle name="Normal 5 5 3 3 3" xfId="5665" xr:uid="{00000000-0005-0000-0000-00007D1B0000}"/>
    <cellStyle name="Normal 5 5 3 3 3 2" xfId="14115" xr:uid="{65FAD5E1-0DB4-464E-97EE-2C8FC80224CD}"/>
    <cellStyle name="Normal 5 5 3 3 4" xfId="9897" xr:uid="{7F18ACCF-AD85-43E5-B637-A1CA69CD1E77}"/>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E0500D1D-08AC-439F-BEA1-DB1E94857B6B}"/>
    <cellStyle name="Normal 5 5 3 4 2 3" xfId="12455" xr:uid="{1C402A6C-7EEC-42C1-B3B3-F91B1FDED74B}"/>
    <cellStyle name="Normal 5 5 3 4 3" xfId="6078" xr:uid="{00000000-0005-0000-0000-0000811B0000}"/>
    <cellStyle name="Normal 5 5 3 4 3 2" xfId="14528" xr:uid="{8CB24DCB-C4A0-4E2D-9F02-ECF4C268A893}"/>
    <cellStyle name="Normal 5 5 3 4 4" xfId="10310" xr:uid="{EC7630FD-2207-4D85-B731-6CCE44AD7DE8}"/>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D22F47C4-571E-49D5-AEAC-CA0A4A42F1FF}"/>
    <cellStyle name="Normal 5 5 3 5 2 3" xfId="12868" xr:uid="{BB595074-0790-4662-8F8F-33AF37CC717B}"/>
    <cellStyle name="Normal 5 5 3 5 3" xfId="6491" xr:uid="{00000000-0005-0000-0000-0000851B0000}"/>
    <cellStyle name="Normal 5 5 3 5 3 2" xfId="14941" xr:uid="{AB608916-C7EC-4C4F-9806-5741F1988E89}"/>
    <cellStyle name="Normal 5 5 3 5 4" xfId="10723" xr:uid="{1C651A41-7CDE-41CA-82E1-17846C460017}"/>
    <cellStyle name="Normal 5 5 3 6" xfId="2621" xr:uid="{00000000-0005-0000-0000-0000861B0000}"/>
    <cellStyle name="Normal 5 5 3 6 2" xfId="6904" xr:uid="{00000000-0005-0000-0000-0000871B0000}"/>
    <cellStyle name="Normal 5 5 3 6 2 2" xfId="15354" xr:uid="{CE482971-BEB4-4D56-9E36-2F09C45AE8D0}"/>
    <cellStyle name="Normal 5 5 3 6 3" xfId="11136" xr:uid="{98026B60-AF2A-4051-B5C6-4710745DA6F7}"/>
    <cellStyle name="Normal 5 5 3 7" xfId="4839" xr:uid="{00000000-0005-0000-0000-0000881B0000}"/>
    <cellStyle name="Normal 5 5 3 7 2" xfId="13289" xr:uid="{D12866E5-60C4-4E1C-ABC6-2C80D380E712}"/>
    <cellStyle name="Normal 5 5 3 8" xfId="9071" xr:uid="{330D7E54-2B4E-4B12-A69A-215B9B72C25A}"/>
    <cellStyle name="Normal 5 5 4" xfId="938" xr:uid="{00000000-0005-0000-0000-0000891B0000}"/>
    <cellStyle name="Normal 5 5 4 2" xfId="3172" xr:uid="{00000000-0005-0000-0000-00008A1B0000}"/>
    <cellStyle name="Normal 5 5 4 2 2" xfId="7394" xr:uid="{00000000-0005-0000-0000-00008B1B0000}"/>
    <cellStyle name="Normal 5 5 4 2 2 2" xfId="15844" xr:uid="{46BC8ED6-03DA-47E5-8C30-964550197132}"/>
    <cellStyle name="Normal 5 5 4 2 3" xfId="11626" xr:uid="{DF2CBE70-59C0-4DF0-AFDA-EF4430C443EC}"/>
    <cellStyle name="Normal 5 5 4 3" xfId="5249" xr:uid="{00000000-0005-0000-0000-00008C1B0000}"/>
    <cellStyle name="Normal 5 5 4 3 2" xfId="13699" xr:uid="{45A8CA74-5668-4B14-A6BA-BB9C93FF5405}"/>
    <cellStyle name="Normal 5 5 4 4" xfId="9481" xr:uid="{485C0BCF-FA0E-4FB1-95E5-C1341D69AD98}"/>
    <cellStyle name="Normal 5 5 5" xfId="1355" xr:uid="{00000000-0005-0000-0000-00008D1B0000}"/>
    <cellStyle name="Normal 5 5 5 2" xfId="3585" xr:uid="{00000000-0005-0000-0000-00008E1B0000}"/>
    <cellStyle name="Normal 5 5 5 2 2" xfId="7807" xr:uid="{00000000-0005-0000-0000-00008F1B0000}"/>
    <cellStyle name="Normal 5 5 5 2 2 2" xfId="16257" xr:uid="{385FF4FA-8C36-4CD4-8BFB-F9ED24EA3939}"/>
    <cellStyle name="Normal 5 5 5 2 3" xfId="12039" xr:uid="{0657D960-DA8E-4EFF-8555-5D3768FC0B93}"/>
    <cellStyle name="Normal 5 5 5 3" xfId="5662" xr:uid="{00000000-0005-0000-0000-0000901B0000}"/>
    <cellStyle name="Normal 5 5 5 3 2" xfId="14112" xr:uid="{E58B74F6-5516-4144-A798-BE15F7BC9BDD}"/>
    <cellStyle name="Normal 5 5 5 4" xfId="9894" xr:uid="{769A1880-468B-4455-BCDD-888443FDA223}"/>
    <cellStyle name="Normal 5 5 6" xfId="1768" xr:uid="{00000000-0005-0000-0000-0000911B0000}"/>
    <cellStyle name="Normal 5 5 6 2" xfId="3998" xr:uid="{00000000-0005-0000-0000-0000921B0000}"/>
    <cellStyle name="Normal 5 5 6 2 2" xfId="8220" xr:uid="{00000000-0005-0000-0000-0000931B0000}"/>
    <cellStyle name="Normal 5 5 6 2 2 2" xfId="16670" xr:uid="{04E48E67-23F2-4C88-AF59-9E849D8F4A55}"/>
    <cellStyle name="Normal 5 5 6 2 3" xfId="12452" xr:uid="{913944D1-2E30-405C-AEB4-8EC327F582F6}"/>
    <cellStyle name="Normal 5 5 6 3" xfId="6075" xr:uid="{00000000-0005-0000-0000-0000941B0000}"/>
    <cellStyle name="Normal 5 5 6 3 2" xfId="14525" xr:uid="{D406B519-8CE3-46E2-B0D3-C20015E1E1D3}"/>
    <cellStyle name="Normal 5 5 6 4" xfId="10307" xr:uid="{804EF0FA-4A26-4545-84FB-621B0C8BF3F0}"/>
    <cellStyle name="Normal 5 5 7" xfId="2182" xr:uid="{00000000-0005-0000-0000-0000951B0000}"/>
    <cellStyle name="Normal 5 5 7 2" xfId="4411" xr:uid="{00000000-0005-0000-0000-0000961B0000}"/>
    <cellStyle name="Normal 5 5 7 2 2" xfId="8633" xr:uid="{00000000-0005-0000-0000-0000971B0000}"/>
    <cellStyle name="Normal 5 5 7 2 2 2" xfId="17083" xr:uid="{20B9FF90-2688-42C5-9F95-21EAE869952C}"/>
    <cellStyle name="Normal 5 5 7 2 3" xfId="12865" xr:uid="{DFA01E61-53F1-4924-A37F-C48A69F0ED7B}"/>
    <cellStyle name="Normal 5 5 7 3" xfId="6488" xr:uid="{00000000-0005-0000-0000-0000981B0000}"/>
    <cellStyle name="Normal 5 5 7 3 2" xfId="14938" xr:uid="{EF237E21-28EE-43C0-9110-3D15A7EC5C4D}"/>
    <cellStyle name="Normal 5 5 7 4" xfId="10720" xr:uid="{5B108C86-CF06-41B1-9245-4AD06DD4696E}"/>
    <cellStyle name="Normal 5 5 8" xfId="2618" xr:uid="{00000000-0005-0000-0000-0000991B0000}"/>
    <cellStyle name="Normal 5 5 8 2" xfId="6901" xr:uid="{00000000-0005-0000-0000-00009A1B0000}"/>
    <cellStyle name="Normal 5 5 8 2 2" xfId="15351" xr:uid="{891C318E-2700-4A5E-A195-4BF5E6AE9E40}"/>
    <cellStyle name="Normal 5 5 8 3" xfId="11133" xr:uid="{4EE4DC47-A972-44FE-8A3F-2B434B3D3CDB}"/>
    <cellStyle name="Normal 5 5 9" xfId="4836" xr:uid="{00000000-0005-0000-0000-00009B1B0000}"/>
    <cellStyle name="Normal 5 5 9 2" xfId="13286" xr:uid="{36885F78-DA09-4704-BB3D-47BF54EB3F77}"/>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42A8F63E-1326-4C46-817C-E332253799C8}"/>
    <cellStyle name="Normal 5 6 2 2 2 3" xfId="11631" xr:uid="{241F8932-0AA9-40EB-B304-727E2CCA2560}"/>
    <cellStyle name="Normal 5 6 2 2 3" xfId="5254" xr:uid="{00000000-0005-0000-0000-0000A11B0000}"/>
    <cellStyle name="Normal 5 6 2 2 3 2" xfId="13704" xr:uid="{EE089309-9F13-475D-897A-87FCEAE5B30D}"/>
    <cellStyle name="Normal 5 6 2 2 4" xfId="9486" xr:uid="{A42B2AF3-FB81-4583-87A7-C8A0346EB203}"/>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0C11E606-72EB-4615-BA13-1CB35D54E211}"/>
    <cellStyle name="Normal 5 6 2 3 2 3" xfId="12044" xr:uid="{3F34C24A-BAA1-4454-BAE3-7E552E89518A}"/>
    <cellStyle name="Normal 5 6 2 3 3" xfId="5667" xr:uid="{00000000-0005-0000-0000-0000A51B0000}"/>
    <cellStyle name="Normal 5 6 2 3 3 2" xfId="14117" xr:uid="{C601B387-14F8-444C-A818-5CB31CF5ADBD}"/>
    <cellStyle name="Normal 5 6 2 3 4" xfId="9899" xr:uid="{0F408372-5931-4DE6-BEDE-5DC220BEEE71}"/>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D4CA42D5-E1FE-488F-8EF7-EC7682E21FD0}"/>
    <cellStyle name="Normal 5 6 2 4 2 3" xfId="12457" xr:uid="{9C74D4E3-F70F-435E-B8FB-7F602B44FB0F}"/>
    <cellStyle name="Normal 5 6 2 4 3" xfId="6080" xr:uid="{00000000-0005-0000-0000-0000A91B0000}"/>
    <cellStyle name="Normal 5 6 2 4 3 2" xfId="14530" xr:uid="{8C77B993-5296-4C9F-B608-54A83BAB6495}"/>
    <cellStyle name="Normal 5 6 2 4 4" xfId="10312" xr:uid="{A1321123-4D2D-44EB-B0C3-F173C2D9F032}"/>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B3B5C5F0-8D81-40C2-AB14-96B619C4A25E}"/>
    <cellStyle name="Normal 5 6 2 5 2 3" xfId="12870" xr:uid="{8DCED522-B1EE-4E17-94C9-4EACF4C74A9B}"/>
    <cellStyle name="Normal 5 6 2 5 3" xfId="6493" xr:uid="{00000000-0005-0000-0000-0000AD1B0000}"/>
    <cellStyle name="Normal 5 6 2 5 3 2" xfId="14943" xr:uid="{BDFD6753-213F-42D3-AB41-AD94072F1A78}"/>
    <cellStyle name="Normal 5 6 2 5 4" xfId="10725" xr:uid="{7F436801-EE15-4BCA-8DB3-EC1E90C4B875}"/>
    <cellStyle name="Normal 5 6 2 6" xfId="2623" xr:uid="{00000000-0005-0000-0000-0000AE1B0000}"/>
    <cellStyle name="Normal 5 6 2 6 2" xfId="6906" xr:uid="{00000000-0005-0000-0000-0000AF1B0000}"/>
    <cellStyle name="Normal 5 6 2 6 2 2" xfId="15356" xr:uid="{39E2C14E-3132-4FCA-A722-6F8BFE058A7A}"/>
    <cellStyle name="Normal 5 6 2 6 3" xfId="11138" xr:uid="{F3C7CDE2-C021-4AFD-9770-4D080927206E}"/>
    <cellStyle name="Normal 5 6 2 7" xfId="4841" xr:uid="{00000000-0005-0000-0000-0000B01B0000}"/>
    <cellStyle name="Normal 5 6 2 7 2" xfId="13291" xr:uid="{EEF5CAC2-A242-4E16-9512-D1CC25B5CABC}"/>
    <cellStyle name="Normal 5 6 2 8" xfId="9073" xr:uid="{ADBFCC60-00B9-415A-B04D-2379D6A5AAE2}"/>
    <cellStyle name="Normal 5 6 3" xfId="942" xr:uid="{00000000-0005-0000-0000-0000B11B0000}"/>
    <cellStyle name="Normal 5 6 3 2" xfId="3176" xr:uid="{00000000-0005-0000-0000-0000B21B0000}"/>
    <cellStyle name="Normal 5 6 3 2 2" xfId="7398" xr:uid="{00000000-0005-0000-0000-0000B31B0000}"/>
    <cellStyle name="Normal 5 6 3 2 2 2" xfId="15848" xr:uid="{D55443F5-2FB7-42E9-81EF-71F22F2378C5}"/>
    <cellStyle name="Normal 5 6 3 2 3" xfId="11630" xr:uid="{AEB0987C-0B37-429B-9265-D20645CFAF63}"/>
    <cellStyle name="Normal 5 6 3 3" xfId="5253" xr:uid="{00000000-0005-0000-0000-0000B41B0000}"/>
    <cellStyle name="Normal 5 6 3 3 2" xfId="13703" xr:uid="{D10F9D1F-7133-4BB0-B04E-8DF6F69D3039}"/>
    <cellStyle name="Normal 5 6 3 4" xfId="9485" xr:uid="{55F07306-18DB-4A24-A7E7-9255E600CCE0}"/>
    <cellStyle name="Normal 5 6 4" xfId="1359" xr:uid="{00000000-0005-0000-0000-0000B51B0000}"/>
    <cellStyle name="Normal 5 6 4 2" xfId="3589" xr:uid="{00000000-0005-0000-0000-0000B61B0000}"/>
    <cellStyle name="Normal 5 6 4 2 2" xfId="7811" xr:uid="{00000000-0005-0000-0000-0000B71B0000}"/>
    <cellStyle name="Normal 5 6 4 2 2 2" xfId="16261" xr:uid="{4957AEA6-2444-4577-BD01-66DC85C36030}"/>
    <cellStyle name="Normal 5 6 4 2 3" xfId="12043" xr:uid="{0BBB99DF-61DA-41FC-9C85-79E490BDC066}"/>
    <cellStyle name="Normal 5 6 4 3" xfId="5666" xr:uid="{00000000-0005-0000-0000-0000B81B0000}"/>
    <cellStyle name="Normal 5 6 4 3 2" xfId="14116" xr:uid="{AB91CC33-2183-4F52-9070-925E4A1C47A6}"/>
    <cellStyle name="Normal 5 6 4 4" xfId="9898" xr:uid="{B239C7FD-B478-42C9-BCF7-365B1C827DCE}"/>
    <cellStyle name="Normal 5 6 5" xfId="1772" xr:uid="{00000000-0005-0000-0000-0000B91B0000}"/>
    <cellStyle name="Normal 5 6 5 2" xfId="4002" xr:uid="{00000000-0005-0000-0000-0000BA1B0000}"/>
    <cellStyle name="Normal 5 6 5 2 2" xfId="8224" xr:uid="{00000000-0005-0000-0000-0000BB1B0000}"/>
    <cellStyle name="Normal 5 6 5 2 2 2" xfId="16674" xr:uid="{937589CB-857A-479D-8BA7-EA332C778533}"/>
    <cellStyle name="Normal 5 6 5 2 3" xfId="12456" xr:uid="{DCAD5FF9-970B-4B78-A6E8-459DDA04E667}"/>
    <cellStyle name="Normal 5 6 5 3" xfId="6079" xr:uid="{00000000-0005-0000-0000-0000BC1B0000}"/>
    <cellStyle name="Normal 5 6 5 3 2" xfId="14529" xr:uid="{8AB3DD3C-2DEA-4C53-8C00-6444C3FC2480}"/>
    <cellStyle name="Normal 5 6 5 4" xfId="10311" xr:uid="{867542AC-EDF3-4EA8-A9A8-4CA11C41B4A5}"/>
    <cellStyle name="Normal 5 6 6" xfId="2186" xr:uid="{00000000-0005-0000-0000-0000BD1B0000}"/>
    <cellStyle name="Normal 5 6 6 2" xfId="4415" xr:uid="{00000000-0005-0000-0000-0000BE1B0000}"/>
    <cellStyle name="Normal 5 6 6 2 2" xfId="8637" xr:uid="{00000000-0005-0000-0000-0000BF1B0000}"/>
    <cellStyle name="Normal 5 6 6 2 2 2" xfId="17087" xr:uid="{948EED92-0CF2-45E7-86DA-CE0627FC29B3}"/>
    <cellStyle name="Normal 5 6 6 2 3" xfId="12869" xr:uid="{A2CC55F9-47E5-4AD2-B736-CCF2685B1544}"/>
    <cellStyle name="Normal 5 6 6 3" xfId="6492" xr:uid="{00000000-0005-0000-0000-0000C01B0000}"/>
    <cellStyle name="Normal 5 6 6 3 2" xfId="14942" xr:uid="{60E01694-DAE6-4FA5-88BF-4D04DEC5D84F}"/>
    <cellStyle name="Normal 5 6 6 4" xfId="10724" xr:uid="{DE4F7767-D9AF-4EA9-B644-8FD0275FB9C4}"/>
    <cellStyle name="Normal 5 6 7" xfId="2622" xr:uid="{00000000-0005-0000-0000-0000C11B0000}"/>
    <cellStyle name="Normal 5 6 7 2" xfId="6905" xr:uid="{00000000-0005-0000-0000-0000C21B0000}"/>
    <cellStyle name="Normal 5 6 7 2 2" xfId="15355" xr:uid="{E757AAE2-C1C6-48F7-9260-98558AC14B54}"/>
    <cellStyle name="Normal 5 6 7 3" xfId="11137" xr:uid="{07D596D7-1AF5-4791-AA83-D4EB6B26FEFA}"/>
    <cellStyle name="Normal 5 6 8" xfId="4840" xr:uid="{00000000-0005-0000-0000-0000C31B0000}"/>
    <cellStyle name="Normal 5 6 8 2" xfId="13290" xr:uid="{78ACDB0D-1F1A-471C-B129-1C3E8809201D}"/>
    <cellStyle name="Normal 5 6 9" xfId="9072" xr:uid="{82264084-4163-4081-9756-C58EB3F56C62}"/>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15850" xr:uid="{7430EE29-B161-41F7-931D-1AA0A560D0A6}"/>
    <cellStyle name="Normal 5 7 2 2 3" xfId="11632" xr:uid="{A7BBC4AD-10C1-4D53-B3FE-57ECE25F51E1}"/>
    <cellStyle name="Normal 5 7 2 3" xfId="5255" xr:uid="{00000000-0005-0000-0000-0000C81B0000}"/>
    <cellStyle name="Normal 5 7 2 3 2" xfId="13705" xr:uid="{6DF9AC51-31C9-4854-84AE-EEDF874E1833}"/>
    <cellStyle name="Normal 5 7 2 4" xfId="9487" xr:uid="{433E309C-C8E4-44E5-9017-EF020026FED8}"/>
    <cellStyle name="Normal 5 7 3" xfId="1361" xr:uid="{00000000-0005-0000-0000-0000C91B0000}"/>
    <cellStyle name="Normal 5 7 3 2" xfId="3591" xr:uid="{00000000-0005-0000-0000-0000CA1B0000}"/>
    <cellStyle name="Normal 5 7 3 2 2" xfId="7813" xr:uid="{00000000-0005-0000-0000-0000CB1B0000}"/>
    <cellStyle name="Normal 5 7 3 2 2 2" xfId="16263" xr:uid="{183DA2D2-85CD-4B24-913A-C63D17BB82B4}"/>
    <cellStyle name="Normal 5 7 3 2 3" xfId="12045" xr:uid="{B4975C91-C5F1-4771-A9CB-5872E68FFCA6}"/>
    <cellStyle name="Normal 5 7 3 3" xfId="5668" xr:uid="{00000000-0005-0000-0000-0000CC1B0000}"/>
    <cellStyle name="Normal 5 7 3 3 2" xfId="14118" xr:uid="{DDCD33CC-20AB-4A90-8B7F-C255F44F4204}"/>
    <cellStyle name="Normal 5 7 3 4" xfId="9900" xr:uid="{C03EBE5A-5350-4A6A-AED7-330F5B77DD78}"/>
    <cellStyle name="Normal 5 7 4" xfId="1774" xr:uid="{00000000-0005-0000-0000-0000CD1B0000}"/>
    <cellStyle name="Normal 5 7 4 2" xfId="4004" xr:uid="{00000000-0005-0000-0000-0000CE1B0000}"/>
    <cellStyle name="Normal 5 7 4 2 2" xfId="8226" xr:uid="{00000000-0005-0000-0000-0000CF1B0000}"/>
    <cellStyle name="Normal 5 7 4 2 2 2" xfId="16676" xr:uid="{39C5E59A-D6EF-4EAD-9343-72C3C40776BD}"/>
    <cellStyle name="Normal 5 7 4 2 3" xfId="12458" xr:uid="{D10E030D-4C6E-4BF3-AC80-0E8B013F02B2}"/>
    <cellStyle name="Normal 5 7 4 3" xfId="6081" xr:uid="{00000000-0005-0000-0000-0000D01B0000}"/>
    <cellStyle name="Normal 5 7 4 3 2" xfId="14531" xr:uid="{A50767F7-B62A-4B55-873B-FE7655313413}"/>
    <cellStyle name="Normal 5 7 4 4" xfId="10313" xr:uid="{4C1FD3F3-06CD-4E8B-99A9-5D2E96409800}"/>
    <cellStyle name="Normal 5 7 5" xfId="2188" xr:uid="{00000000-0005-0000-0000-0000D11B0000}"/>
    <cellStyle name="Normal 5 7 5 2" xfId="4417" xr:uid="{00000000-0005-0000-0000-0000D21B0000}"/>
    <cellStyle name="Normal 5 7 5 2 2" xfId="8639" xr:uid="{00000000-0005-0000-0000-0000D31B0000}"/>
    <cellStyle name="Normal 5 7 5 2 2 2" xfId="17089" xr:uid="{E5D6F15B-A876-42A4-97CF-8CB2FB9671DC}"/>
    <cellStyle name="Normal 5 7 5 2 3" xfId="12871" xr:uid="{39BDFFB9-3D98-4B61-8054-6D3D49164257}"/>
    <cellStyle name="Normal 5 7 5 3" xfId="6494" xr:uid="{00000000-0005-0000-0000-0000D41B0000}"/>
    <cellStyle name="Normal 5 7 5 3 2" xfId="14944" xr:uid="{3231D1C8-F903-448B-919D-045295891544}"/>
    <cellStyle name="Normal 5 7 5 4" xfId="10726" xr:uid="{FF57EBD4-8B2E-4093-BF08-BF70604D330B}"/>
    <cellStyle name="Normal 5 7 6" xfId="2624" xr:uid="{00000000-0005-0000-0000-0000D51B0000}"/>
    <cellStyle name="Normal 5 7 6 2" xfId="6907" xr:uid="{00000000-0005-0000-0000-0000D61B0000}"/>
    <cellStyle name="Normal 5 7 6 2 2" xfId="15357" xr:uid="{A8517F2C-74B5-4416-928C-F63C5A4D6F95}"/>
    <cellStyle name="Normal 5 7 6 3" xfId="11139" xr:uid="{805A0FC4-FE35-47F4-8D07-0F408175F952}"/>
    <cellStyle name="Normal 5 7 7" xfId="4842" xr:uid="{00000000-0005-0000-0000-0000D71B0000}"/>
    <cellStyle name="Normal 5 7 7 2" xfId="13292" xr:uid="{E16C7E8D-EEFE-4699-B79D-3F0C18B4AD23}"/>
    <cellStyle name="Normal 5 7 8" xfId="9074" xr:uid="{177A6F82-AF3C-4D56-AB77-1BCC9B5CE85F}"/>
    <cellStyle name="Normal 5 8" xfId="880" xr:uid="{00000000-0005-0000-0000-0000D81B0000}"/>
    <cellStyle name="Normal 5 8 2" xfId="3115" xr:uid="{00000000-0005-0000-0000-0000D91B0000}"/>
    <cellStyle name="Normal 5 8 2 2" xfId="7337" xr:uid="{00000000-0005-0000-0000-0000DA1B0000}"/>
    <cellStyle name="Normal 5 8 2 2 2" xfId="15787" xr:uid="{A116C908-0C1D-49C3-8AA9-9E7682A55D93}"/>
    <cellStyle name="Normal 5 8 2 3" xfId="11569" xr:uid="{08580F56-BCAC-4F93-974D-881DB3D8CA8D}"/>
    <cellStyle name="Normal 5 8 3" xfId="5192" xr:uid="{00000000-0005-0000-0000-0000DB1B0000}"/>
    <cellStyle name="Normal 5 8 3 2" xfId="13642" xr:uid="{B3BDAE67-A406-476D-BA44-5E145373E7DE}"/>
    <cellStyle name="Normal 5 8 4" xfId="9424" xr:uid="{495C2243-8BEC-4841-A470-43B71718A6DB}"/>
    <cellStyle name="Normal 5 9" xfId="1298" xr:uid="{00000000-0005-0000-0000-0000DC1B0000}"/>
    <cellStyle name="Normal 5 9 2" xfId="3528" xr:uid="{00000000-0005-0000-0000-0000DD1B0000}"/>
    <cellStyle name="Normal 5 9 2 2" xfId="7750" xr:uid="{00000000-0005-0000-0000-0000DE1B0000}"/>
    <cellStyle name="Normal 5 9 2 2 2" xfId="16200" xr:uid="{6C78DFC2-A2F8-4158-8671-E5FB231F7354}"/>
    <cellStyle name="Normal 5 9 2 3" xfId="11982" xr:uid="{94C37B8A-5E96-4431-B046-1857983FD247}"/>
    <cellStyle name="Normal 5 9 3" xfId="5605" xr:uid="{00000000-0005-0000-0000-0000DF1B0000}"/>
    <cellStyle name="Normal 5 9 3 2" xfId="14055" xr:uid="{1225C0DE-6FE9-4BCF-91FE-3F02ED79D661}"/>
    <cellStyle name="Normal 5 9 4" xfId="9837" xr:uid="{9AEA0A44-3C86-48A8-9D4C-3A13FE6795FA}"/>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8F0764DA-0329-44D3-8E2F-F463E944B4EE}"/>
    <cellStyle name="Normal 8 10 2 3" xfId="12872" xr:uid="{B44DF5F4-96BB-41F2-A9BE-6DCE06756A65}"/>
    <cellStyle name="Normal 8 10 3" xfId="6495" xr:uid="{00000000-0005-0000-0000-0000EB1B0000}"/>
    <cellStyle name="Normal 8 10 3 2" xfId="14945" xr:uid="{0E75AB1F-9254-4A58-8928-1D1B34918C8F}"/>
    <cellStyle name="Normal 8 10 4" xfId="10727" xr:uid="{A510D6F0-3803-4EF1-BEBC-A1C4347333B4}"/>
    <cellStyle name="Normal 8 11" xfId="2625" xr:uid="{00000000-0005-0000-0000-0000EC1B0000}"/>
    <cellStyle name="Normal 8 11 2" xfId="6908" xr:uid="{00000000-0005-0000-0000-0000ED1B0000}"/>
    <cellStyle name="Normal 8 11 2 2" xfId="15358" xr:uid="{A9F91B0D-E71D-479C-9A03-BBEA9812820E}"/>
    <cellStyle name="Normal 8 11 3" xfId="11140" xr:uid="{8DA034E3-DCB7-4980-BEF9-BDD338BE61DF}"/>
    <cellStyle name="Normal 8 12" xfId="4843" xr:uid="{00000000-0005-0000-0000-0000EE1B0000}"/>
    <cellStyle name="Normal 8 12 2" xfId="13293" xr:uid="{EF8E0F4E-7FD5-42D1-B788-615FECD49A50}"/>
    <cellStyle name="Normal 8 13" xfId="9075" xr:uid="{C83B129C-9A99-49E1-B013-D2B9115F1B20}"/>
    <cellStyle name="Normal 8 2" xfId="479" xr:uid="{00000000-0005-0000-0000-0000EF1B0000}"/>
    <cellStyle name="Normal 8 2 10" xfId="2626" xr:uid="{00000000-0005-0000-0000-0000F01B0000}"/>
    <cellStyle name="Normal 8 2 10 2" xfId="6909" xr:uid="{00000000-0005-0000-0000-0000F11B0000}"/>
    <cellStyle name="Normal 8 2 10 2 2" xfId="15359" xr:uid="{C146287C-84EB-4971-B913-2F5C5F53DD30}"/>
    <cellStyle name="Normal 8 2 10 3" xfId="11141" xr:uid="{87B1C607-7CE6-4F91-B221-50333F211004}"/>
    <cellStyle name="Normal 8 2 11" xfId="4844" xr:uid="{00000000-0005-0000-0000-0000F21B0000}"/>
    <cellStyle name="Normal 8 2 11 2" xfId="13294" xr:uid="{E2E06F1E-9DCE-457B-949A-7FD19E8F8D24}"/>
    <cellStyle name="Normal 8 2 12" xfId="9076" xr:uid="{0D444232-494A-4614-AA75-FEA3F7C7539D}"/>
    <cellStyle name="Normal 8 2 2" xfId="480" xr:uid="{00000000-0005-0000-0000-0000F31B0000}"/>
    <cellStyle name="Normal 8 2 2 10" xfId="4845" xr:uid="{00000000-0005-0000-0000-0000F41B0000}"/>
    <cellStyle name="Normal 8 2 2 10 2" xfId="13295" xr:uid="{DB601C49-58B0-459C-927B-75845F800F07}"/>
    <cellStyle name="Normal 8 2 2 11" xfId="9077" xr:uid="{BD042DCA-8A20-4E65-A74F-0103851624E6}"/>
    <cellStyle name="Normal 8 2 2 2" xfId="481" xr:uid="{00000000-0005-0000-0000-0000F51B0000}"/>
    <cellStyle name="Normal 8 2 2 2 10" xfId="9078" xr:uid="{881CCAF3-87D2-44D6-8434-5F14D42F26D1}"/>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8340E166-A620-455E-9CDD-1A192A0CE31F}"/>
    <cellStyle name="Normal 8 2 2 2 2 2 2 2 3" xfId="11638" xr:uid="{B33550D1-3142-409C-84EF-F76A76D6D450}"/>
    <cellStyle name="Normal 8 2 2 2 2 2 2 3" xfId="5261" xr:uid="{00000000-0005-0000-0000-0000FB1B0000}"/>
    <cellStyle name="Normal 8 2 2 2 2 2 2 3 2" xfId="13711" xr:uid="{B6453E72-E1B2-445E-AF2E-9D7C5E4E4095}"/>
    <cellStyle name="Normal 8 2 2 2 2 2 2 4" xfId="9493" xr:uid="{7B889C0E-CDDE-4281-B195-BFD836B81BF6}"/>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1F08E597-C995-48B8-9D81-992A0E9A7D8B}"/>
    <cellStyle name="Normal 8 2 2 2 2 2 3 2 3" xfId="12051" xr:uid="{812BF8BF-19A7-4F91-A5F1-21D046C0EDDB}"/>
    <cellStyle name="Normal 8 2 2 2 2 2 3 3" xfId="5674" xr:uid="{00000000-0005-0000-0000-0000FF1B0000}"/>
    <cellStyle name="Normal 8 2 2 2 2 2 3 3 2" xfId="14124" xr:uid="{FB3571B2-996B-43C0-8EED-5AD0B759D952}"/>
    <cellStyle name="Normal 8 2 2 2 2 2 3 4" xfId="9906" xr:uid="{07B082B6-D070-4484-AC5B-939BDEDB26F2}"/>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24506F76-996E-4569-8513-9ADA6BA89545}"/>
    <cellStyle name="Normal 8 2 2 2 2 2 4 2 3" xfId="12464" xr:uid="{6235E687-C7DD-47DE-8D35-17FB3BE5113F}"/>
    <cellStyle name="Normal 8 2 2 2 2 2 4 3" xfId="6087" xr:uid="{00000000-0005-0000-0000-0000031C0000}"/>
    <cellStyle name="Normal 8 2 2 2 2 2 4 3 2" xfId="14537" xr:uid="{5DED3A51-5EB1-4476-BFA8-D71464BBBAB1}"/>
    <cellStyle name="Normal 8 2 2 2 2 2 4 4" xfId="10319" xr:uid="{F2D4C1E1-5519-4A12-B389-3EFA433D9017}"/>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1EF6AB37-CA78-435B-9DA6-2ADBD9DF748C}"/>
    <cellStyle name="Normal 8 2 2 2 2 2 5 2 3" xfId="12877" xr:uid="{9C23AE45-3108-45A2-936E-5EFA08E8687B}"/>
    <cellStyle name="Normal 8 2 2 2 2 2 5 3" xfId="6500" xr:uid="{00000000-0005-0000-0000-0000071C0000}"/>
    <cellStyle name="Normal 8 2 2 2 2 2 5 3 2" xfId="14950" xr:uid="{7F321266-2047-428E-A727-87E5FDCCC612}"/>
    <cellStyle name="Normal 8 2 2 2 2 2 5 4" xfId="10732" xr:uid="{B2E7F107-EAEB-48CE-B62E-A5D4F72656CA}"/>
    <cellStyle name="Normal 8 2 2 2 2 2 6" xfId="2630" xr:uid="{00000000-0005-0000-0000-0000081C0000}"/>
    <cellStyle name="Normal 8 2 2 2 2 2 6 2" xfId="6913" xr:uid="{00000000-0005-0000-0000-0000091C0000}"/>
    <cellStyle name="Normal 8 2 2 2 2 2 6 2 2" xfId="15363" xr:uid="{27775E76-6C81-49CE-AE54-DBFF0B3DC936}"/>
    <cellStyle name="Normal 8 2 2 2 2 2 6 3" xfId="11145" xr:uid="{4B241ED5-E77A-49E2-9D63-CBDC41B0EC7E}"/>
    <cellStyle name="Normal 8 2 2 2 2 2 7" xfId="4848" xr:uid="{00000000-0005-0000-0000-00000A1C0000}"/>
    <cellStyle name="Normal 8 2 2 2 2 2 7 2" xfId="13298" xr:uid="{96477B2D-8DC7-4262-B276-C9DE8F53B98A}"/>
    <cellStyle name="Normal 8 2 2 2 2 2 8" xfId="9080" xr:uid="{17201B73-68D0-4C5D-A598-AD4B3CF85E8B}"/>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7E3FCAF1-734C-48E7-911B-270088550641}"/>
    <cellStyle name="Normal 8 2 2 2 2 3 2 3" xfId="11637" xr:uid="{4DCC1C5F-F065-410D-9E59-EA9B32F4F224}"/>
    <cellStyle name="Normal 8 2 2 2 2 3 3" xfId="5260" xr:uid="{00000000-0005-0000-0000-00000E1C0000}"/>
    <cellStyle name="Normal 8 2 2 2 2 3 3 2" xfId="13710" xr:uid="{08791DD1-B0A2-44D6-86DF-9A9B343CDE40}"/>
    <cellStyle name="Normal 8 2 2 2 2 3 4" xfId="9492" xr:uid="{0F3508A3-F1F5-4CB1-82D5-E24025FAC90F}"/>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6DF25458-539B-4CFC-AC75-CBC5388EA8E3}"/>
    <cellStyle name="Normal 8 2 2 2 2 4 2 3" xfId="12050" xr:uid="{A4F1A9D1-E7FA-4B56-BB4A-84E1CB7E9156}"/>
    <cellStyle name="Normal 8 2 2 2 2 4 3" xfId="5673" xr:uid="{00000000-0005-0000-0000-0000121C0000}"/>
    <cellStyle name="Normal 8 2 2 2 2 4 3 2" xfId="14123" xr:uid="{2F5BBCFF-19E6-48DC-B786-CF9B92D99B8A}"/>
    <cellStyle name="Normal 8 2 2 2 2 4 4" xfId="9905" xr:uid="{AF3BBA1A-7992-4F3A-B5AC-28EB17394FFA}"/>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9C0048A8-BB5C-40F6-8D49-FDE8C046A027}"/>
    <cellStyle name="Normal 8 2 2 2 2 5 2 3" xfId="12463" xr:uid="{F132081A-D37A-4A0B-946C-719411C52F99}"/>
    <cellStyle name="Normal 8 2 2 2 2 5 3" xfId="6086" xr:uid="{00000000-0005-0000-0000-0000161C0000}"/>
    <cellStyle name="Normal 8 2 2 2 2 5 3 2" xfId="14536" xr:uid="{7DA02F09-19B7-479F-9F2D-C7F9E7CB77C5}"/>
    <cellStyle name="Normal 8 2 2 2 2 5 4" xfId="10318" xr:uid="{60F6D8F8-019E-468A-822E-CB132DE34B82}"/>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704FDE13-1776-47D4-8B5A-11A3496A5DBF}"/>
    <cellStyle name="Normal 8 2 2 2 2 6 2 3" xfId="12876" xr:uid="{4356AC9F-C45E-40DD-BCBF-193D6E9CF855}"/>
    <cellStyle name="Normal 8 2 2 2 2 6 3" xfId="6499" xr:uid="{00000000-0005-0000-0000-00001A1C0000}"/>
    <cellStyle name="Normal 8 2 2 2 2 6 3 2" xfId="14949" xr:uid="{4F9058CD-8275-4BFF-9CCE-102C348D8544}"/>
    <cellStyle name="Normal 8 2 2 2 2 6 4" xfId="10731" xr:uid="{F1E61451-9E35-443A-A4A8-FF0A11D43F8F}"/>
    <cellStyle name="Normal 8 2 2 2 2 7" xfId="2629" xr:uid="{00000000-0005-0000-0000-00001B1C0000}"/>
    <cellStyle name="Normal 8 2 2 2 2 7 2" xfId="6912" xr:uid="{00000000-0005-0000-0000-00001C1C0000}"/>
    <cellStyle name="Normal 8 2 2 2 2 7 2 2" xfId="15362" xr:uid="{E7662C2B-6B74-417A-843F-ABF2BD6CF145}"/>
    <cellStyle name="Normal 8 2 2 2 2 7 3" xfId="11144" xr:uid="{ECE0B944-FEC4-4BB1-B079-466DB96325A9}"/>
    <cellStyle name="Normal 8 2 2 2 2 8" xfId="4847" xr:uid="{00000000-0005-0000-0000-00001D1C0000}"/>
    <cellStyle name="Normal 8 2 2 2 2 8 2" xfId="13297" xr:uid="{EA7741B6-D530-4591-A52C-450CA3C82F68}"/>
    <cellStyle name="Normal 8 2 2 2 2 9" xfId="9079" xr:uid="{8A816B3F-E9DE-4E62-8DA1-2A5F19A59DC6}"/>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A2568714-6BD2-48A5-AE71-8B70B4511084}"/>
    <cellStyle name="Normal 8 2 2 2 3 2 2 3" xfId="11639" xr:uid="{34BA7BC4-3E1E-466B-BF2D-38F6D3D134AE}"/>
    <cellStyle name="Normal 8 2 2 2 3 2 3" xfId="5262" xr:uid="{00000000-0005-0000-0000-0000221C0000}"/>
    <cellStyle name="Normal 8 2 2 2 3 2 3 2" xfId="13712" xr:uid="{F59AFA69-D4AB-46EB-ADBF-C9288DF4CA7F}"/>
    <cellStyle name="Normal 8 2 2 2 3 2 4" xfId="9494" xr:uid="{346CB67D-59F4-4FEA-A82A-F3E535ABBF85}"/>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093B914A-E178-478E-BCCC-42803987FED9}"/>
    <cellStyle name="Normal 8 2 2 2 3 3 2 3" xfId="12052" xr:uid="{E35A2462-3554-49BF-B580-41C71D8BFFBB}"/>
    <cellStyle name="Normal 8 2 2 2 3 3 3" xfId="5675" xr:uid="{00000000-0005-0000-0000-0000261C0000}"/>
    <cellStyle name="Normal 8 2 2 2 3 3 3 2" xfId="14125" xr:uid="{13700170-8F34-4AFD-86E3-51B219828579}"/>
    <cellStyle name="Normal 8 2 2 2 3 3 4" xfId="9907" xr:uid="{6F2DE6F2-B39D-47C0-B9DC-2ECE40F3031C}"/>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E851015C-EBF6-47C8-B262-D4002CF29BA6}"/>
    <cellStyle name="Normal 8 2 2 2 3 4 2 3" xfId="12465" xr:uid="{730AE9D8-A0AF-47E7-A108-D6E56275E88F}"/>
    <cellStyle name="Normal 8 2 2 2 3 4 3" xfId="6088" xr:uid="{00000000-0005-0000-0000-00002A1C0000}"/>
    <cellStyle name="Normal 8 2 2 2 3 4 3 2" xfId="14538" xr:uid="{DAEF3CA9-6611-4508-A5FE-B010BC42E8A8}"/>
    <cellStyle name="Normal 8 2 2 2 3 4 4" xfId="10320" xr:uid="{F14E5CAA-1134-499F-A322-295181BFF85A}"/>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D1C852A8-3C8D-4C29-8589-4A3A92172638}"/>
    <cellStyle name="Normal 8 2 2 2 3 5 2 3" xfId="12878" xr:uid="{47130FE6-6270-4C4F-B697-F0027BA5A463}"/>
    <cellStyle name="Normal 8 2 2 2 3 5 3" xfId="6501" xr:uid="{00000000-0005-0000-0000-00002E1C0000}"/>
    <cellStyle name="Normal 8 2 2 2 3 5 3 2" xfId="14951" xr:uid="{3AC9CBB5-0C5D-41E5-BB7F-E1AE2A06422F}"/>
    <cellStyle name="Normal 8 2 2 2 3 5 4" xfId="10733" xr:uid="{6FD9ACDC-5E86-4404-B820-F1836238C4EE}"/>
    <cellStyle name="Normal 8 2 2 2 3 6" xfId="2631" xr:uid="{00000000-0005-0000-0000-00002F1C0000}"/>
    <cellStyle name="Normal 8 2 2 2 3 6 2" xfId="6914" xr:uid="{00000000-0005-0000-0000-0000301C0000}"/>
    <cellStyle name="Normal 8 2 2 2 3 6 2 2" xfId="15364" xr:uid="{AFDAE365-2B8D-4E45-BFC1-006E32325758}"/>
    <cellStyle name="Normal 8 2 2 2 3 6 3" xfId="11146" xr:uid="{E38663C7-AC66-40D0-92C9-1AE84E8C8BDD}"/>
    <cellStyle name="Normal 8 2 2 2 3 7" xfId="4849" xr:uid="{00000000-0005-0000-0000-0000311C0000}"/>
    <cellStyle name="Normal 8 2 2 2 3 7 2" xfId="13299" xr:uid="{35568647-7E70-4A4A-BAA7-9EF5C7DFB937}"/>
    <cellStyle name="Normal 8 2 2 2 3 8" xfId="9081" xr:uid="{F7AFEF4C-6F05-4D90-98A9-8631EFF5E3C8}"/>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F2087A98-6D4E-4E60-99A1-8DB0448AACA9}"/>
    <cellStyle name="Normal 8 2 2 2 4 2 3" xfId="11636" xr:uid="{6F48A0F2-D82C-4B26-A971-B414792063AD}"/>
    <cellStyle name="Normal 8 2 2 2 4 3" xfId="5259" xr:uid="{00000000-0005-0000-0000-0000351C0000}"/>
    <cellStyle name="Normal 8 2 2 2 4 3 2" xfId="13709" xr:uid="{57F0E6D8-7CE6-47AC-B5E0-D34E287662E3}"/>
    <cellStyle name="Normal 8 2 2 2 4 4" xfId="9491" xr:uid="{2E691792-049D-483D-AA96-B4D9FB43DC8C}"/>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B5D11E9E-4923-42EE-8277-A5CDDE86F969}"/>
    <cellStyle name="Normal 8 2 2 2 5 2 3" xfId="12049" xr:uid="{1904816E-8341-4F56-A0E5-55669929CD78}"/>
    <cellStyle name="Normal 8 2 2 2 5 3" xfId="5672" xr:uid="{00000000-0005-0000-0000-0000391C0000}"/>
    <cellStyle name="Normal 8 2 2 2 5 3 2" xfId="14122" xr:uid="{76B3A27E-C79F-461A-8B0D-B6C592B84609}"/>
    <cellStyle name="Normal 8 2 2 2 5 4" xfId="9904" xr:uid="{EE673FDA-B1F7-4D99-B8FD-2BCACA2FBADA}"/>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F305C4C8-9A09-4702-B8CF-245126B2B838}"/>
    <cellStyle name="Normal 8 2 2 2 6 2 3" xfId="12462" xr:uid="{1AAE7A6A-E9B0-45C7-9249-D02471919202}"/>
    <cellStyle name="Normal 8 2 2 2 6 3" xfId="6085" xr:uid="{00000000-0005-0000-0000-00003D1C0000}"/>
    <cellStyle name="Normal 8 2 2 2 6 3 2" xfId="14535" xr:uid="{59A6075F-109E-4597-840E-7A863D7773A5}"/>
    <cellStyle name="Normal 8 2 2 2 6 4" xfId="10317" xr:uid="{8AA871EB-4437-4A66-B244-418C5BB6F8A3}"/>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D1BF845D-0358-4D12-8D93-CF96DA9A880D}"/>
    <cellStyle name="Normal 8 2 2 2 7 2 3" xfId="12875" xr:uid="{2AF2F1E3-E54C-493C-A7C3-9A24DDC99339}"/>
    <cellStyle name="Normal 8 2 2 2 7 3" xfId="6498" xr:uid="{00000000-0005-0000-0000-0000411C0000}"/>
    <cellStyle name="Normal 8 2 2 2 7 3 2" xfId="14948" xr:uid="{241C2A2B-FE2A-4957-9BB5-FAEF1F2A346C}"/>
    <cellStyle name="Normal 8 2 2 2 7 4" xfId="10730" xr:uid="{36A1589D-C537-4DB8-8F2F-C8420D28175E}"/>
    <cellStyle name="Normal 8 2 2 2 8" xfId="2628" xr:uid="{00000000-0005-0000-0000-0000421C0000}"/>
    <cellStyle name="Normal 8 2 2 2 8 2" xfId="6911" xr:uid="{00000000-0005-0000-0000-0000431C0000}"/>
    <cellStyle name="Normal 8 2 2 2 8 2 2" xfId="15361" xr:uid="{2F5F3D9E-3AC8-44DB-AB25-79D04D49DBB6}"/>
    <cellStyle name="Normal 8 2 2 2 8 3" xfId="11143" xr:uid="{E8B31495-68D1-4B8B-961E-5C0FD985530C}"/>
    <cellStyle name="Normal 8 2 2 2 9" xfId="4846" xr:uid="{00000000-0005-0000-0000-0000441C0000}"/>
    <cellStyle name="Normal 8 2 2 2 9 2" xfId="13296" xr:uid="{958725D6-D0DE-4182-B216-6BE6F4141B34}"/>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E884AA52-755E-4C42-A5AE-F6D485DEC07E}"/>
    <cellStyle name="Normal 8 2 2 3 2 2 2 3" xfId="11641" xr:uid="{79F88BA7-FB83-4167-AC44-8FB577C5E44C}"/>
    <cellStyle name="Normal 8 2 2 3 2 2 3" xfId="5264" xr:uid="{00000000-0005-0000-0000-00004A1C0000}"/>
    <cellStyle name="Normal 8 2 2 3 2 2 3 2" xfId="13714" xr:uid="{64252F71-1AD9-4DE6-9872-D2908ADD0823}"/>
    <cellStyle name="Normal 8 2 2 3 2 2 4" xfId="9496" xr:uid="{E6FEC364-8AB4-4B22-BE85-CCA654D7408D}"/>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705E4A55-99C0-4CE1-9BEE-731B3A2D9017}"/>
    <cellStyle name="Normal 8 2 2 3 2 3 2 3" xfId="12054" xr:uid="{C4C16FEF-1ABC-428F-B2C4-5A9EB5C65671}"/>
    <cellStyle name="Normal 8 2 2 3 2 3 3" xfId="5677" xr:uid="{00000000-0005-0000-0000-00004E1C0000}"/>
    <cellStyle name="Normal 8 2 2 3 2 3 3 2" xfId="14127" xr:uid="{CE1FD7E3-BFF4-4C77-BDBE-AD51792BD0F4}"/>
    <cellStyle name="Normal 8 2 2 3 2 3 4" xfId="9909" xr:uid="{4914FF78-57C2-4040-8C34-BDCAE0736A8D}"/>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4E0AEF00-275A-4EA6-A1BD-DA95CA965587}"/>
    <cellStyle name="Normal 8 2 2 3 2 4 2 3" xfId="12467" xr:uid="{8D9513E4-DCB5-48CE-BB47-2F0199EECB49}"/>
    <cellStyle name="Normal 8 2 2 3 2 4 3" xfId="6090" xr:uid="{00000000-0005-0000-0000-0000521C0000}"/>
    <cellStyle name="Normal 8 2 2 3 2 4 3 2" xfId="14540" xr:uid="{433DD5C5-2EBE-40E4-B4E2-B068928ACC71}"/>
    <cellStyle name="Normal 8 2 2 3 2 4 4" xfId="10322" xr:uid="{64059E8C-B89F-42CA-8F04-FDCEC12290C2}"/>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D1B46D68-9767-406F-8E70-3E421FBE1AAB}"/>
    <cellStyle name="Normal 8 2 2 3 2 5 2 3" xfId="12880" xr:uid="{8301E4BB-4DD0-4024-8916-6D3E33CB0C55}"/>
    <cellStyle name="Normal 8 2 2 3 2 5 3" xfId="6503" xr:uid="{00000000-0005-0000-0000-0000561C0000}"/>
    <cellStyle name="Normal 8 2 2 3 2 5 3 2" xfId="14953" xr:uid="{EF986816-D657-4F01-B30E-7D62235613D6}"/>
    <cellStyle name="Normal 8 2 2 3 2 5 4" xfId="10735" xr:uid="{FB98B1E5-62FD-4276-8989-C76C3B339FD4}"/>
    <cellStyle name="Normal 8 2 2 3 2 6" xfId="2633" xr:uid="{00000000-0005-0000-0000-0000571C0000}"/>
    <cellStyle name="Normal 8 2 2 3 2 6 2" xfId="6916" xr:uid="{00000000-0005-0000-0000-0000581C0000}"/>
    <cellStyle name="Normal 8 2 2 3 2 6 2 2" xfId="15366" xr:uid="{7B6BFD48-72DA-4FA9-BAC3-6E6846929EBD}"/>
    <cellStyle name="Normal 8 2 2 3 2 6 3" xfId="11148" xr:uid="{DB89CD6F-D05B-426B-8BC1-114C355269BC}"/>
    <cellStyle name="Normal 8 2 2 3 2 7" xfId="4851" xr:uid="{00000000-0005-0000-0000-0000591C0000}"/>
    <cellStyle name="Normal 8 2 2 3 2 7 2" xfId="13301" xr:uid="{9643E608-E531-4CDA-BBE8-E6B150DD9711}"/>
    <cellStyle name="Normal 8 2 2 3 2 8" xfId="9083" xr:uid="{5D2C539C-7DD2-40E4-9774-A299761A1263}"/>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7DD58738-1F6B-4CD3-875F-502D42A71747}"/>
    <cellStyle name="Normal 8 2 2 3 3 2 3" xfId="11640" xr:uid="{31B5E108-DE8A-4A60-ADA3-86A339AF198F}"/>
    <cellStyle name="Normal 8 2 2 3 3 3" xfId="5263" xr:uid="{00000000-0005-0000-0000-00005D1C0000}"/>
    <cellStyle name="Normal 8 2 2 3 3 3 2" xfId="13713" xr:uid="{4EC5BE57-5A41-44F0-8048-D0B094388F77}"/>
    <cellStyle name="Normal 8 2 2 3 3 4" xfId="9495" xr:uid="{D44416BE-501E-4116-9EF3-5E02F253C522}"/>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CD3BD064-3381-4FA1-8B8D-2E60390EAFFE}"/>
    <cellStyle name="Normal 8 2 2 3 4 2 3" xfId="12053" xr:uid="{208CFC99-C4E8-43B5-AA34-8D35B494498E}"/>
    <cellStyle name="Normal 8 2 2 3 4 3" xfId="5676" xr:uid="{00000000-0005-0000-0000-0000611C0000}"/>
    <cellStyle name="Normal 8 2 2 3 4 3 2" xfId="14126" xr:uid="{D6816856-210D-41E3-9B61-C9405E607CE7}"/>
    <cellStyle name="Normal 8 2 2 3 4 4" xfId="9908" xr:uid="{8C8F1E5B-F716-450E-AA60-683852F895E0}"/>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37B51B39-A504-480F-B9FF-9056C6DE7CE1}"/>
    <cellStyle name="Normal 8 2 2 3 5 2 3" xfId="12466" xr:uid="{E8EBA498-7069-485E-A93A-D503FAE8CF6A}"/>
    <cellStyle name="Normal 8 2 2 3 5 3" xfId="6089" xr:uid="{00000000-0005-0000-0000-0000651C0000}"/>
    <cellStyle name="Normal 8 2 2 3 5 3 2" xfId="14539" xr:uid="{FC5CC2DE-B66B-44EE-8880-10E7F37C4588}"/>
    <cellStyle name="Normal 8 2 2 3 5 4" xfId="10321" xr:uid="{75AA44B4-3FE7-47E8-A564-5ADB05270818}"/>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05B1BBCE-20FA-4947-A193-F7848CB3A457}"/>
    <cellStyle name="Normal 8 2 2 3 6 2 3" xfId="12879" xr:uid="{F7681097-DF74-47FD-ACC9-D77774158F3B}"/>
    <cellStyle name="Normal 8 2 2 3 6 3" xfId="6502" xr:uid="{00000000-0005-0000-0000-0000691C0000}"/>
    <cellStyle name="Normal 8 2 2 3 6 3 2" xfId="14952" xr:uid="{767F2F92-3385-4B9A-B8E1-E93E4985A438}"/>
    <cellStyle name="Normal 8 2 2 3 6 4" xfId="10734" xr:uid="{EDA62B76-9DC3-4443-BA7A-E2ADFF921E73}"/>
    <cellStyle name="Normal 8 2 2 3 7" xfId="2632" xr:uid="{00000000-0005-0000-0000-00006A1C0000}"/>
    <cellStyle name="Normal 8 2 2 3 7 2" xfId="6915" xr:uid="{00000000-0005-0000-0000-00006B1C0000}"/>
    <cellStyle name="Normal 8 2 2 3 7 2 2" xfId="15365" xr:uid="{C4852F67-4C44-48EE-9856-1AE39F869606}"/>
    <cellStyle name="Normal 8 2 2 3 7 3" xfId="11147" xr:uid="{AF1D75F9-3D29-44DB-BB07-F75DB396B9F1}"/>
    <cellStyle name="Normal 8 2 2 3 8" xfId="4850" xr:uid="{00000000-0005-0000-0000-00006C1C0000}"/>
    <cellStyle name="Normal 8 2 2 3 8 2" xfId="13300" xr:uid="{E7184FB3-A34D-4754-8FB8-690E1A46568E}"/>
    <cellStyle name="Normal 8 2 2 3 9" xfId="9082" xr:uid="{ED7D5F82-E28D-4F04-A1AA-DD4E77AF807D}"/>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1BB3EDFC-5883-4D4F-8CF3-5564ED2CA158}"/>
    <cellStyle name="Normal 8 2 2 4 2 2 3" xfId="11642" xr:uid="{4C9240F2-68EC-43CD-B7D5-5B1A24571392}"/>
    <cellStyle name="Normal 8 2 2 4 2 3" xfId="5265" xr:uid="{00000000-0005-0000-0000-0000711C0000}"/>
    <cellStyle name="Normal 8 2 2 4 2 3 2" xfId="13715" xr:uid="{FC7171FD-2B45-4AD6-9E86-5E5F4E46F5D2}"/>
    <cellStyle name="Normal 8 2 2 4 2 4" xfId="9497" xr:uid="{20BA97AE-9934-43C3-A7D5-C12E3A7B5A2B}"/>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53EF2F1F-D1F6-479A-899F-566B869C258C}"/>
    <cellStyle name="Normal 8 2 2 4 3 2 3" xfId="12055" xr:uid="{C3AD5B42-9890-46C6-88A1-0654B1142F02}"/>
    <cellStyle name="Normal 8 2 2 4 3 3" xfId="5678" xr:uid="{00000000-0005-0000-0000-0000751C0000}"/>
    <cellStyle name="Normal 8 2 2 4 3 3 2" xfId="14128" xr:uid="{50075987-1466-436C-859C-7B75481CFC24}"/>
    <cellStyle name="Normal 8 2 2 4 3 4" xfId="9910" xr:uid="{5541FB9D-F7EF-4CC0-A76B-FFC49B1A3FA8}"/>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615BBF04-4164-4888-973C-31EDFF4B8C55}"/>
    <cellStyle name="Normal 8 2 2 4 4 2 3" xfId="12468" xr:uid="{9526FCE6-D455-43FE-95E8-689273EA7466}"/>
    <cellStyle name="Normal 8 2 2 4 4 3" xfId="6091" xr:uid="{00000000-0005-0000-0000-0000791C0000}"/>
    <cellStyle name="Normal 8 2 2 4 4 3 2" xfId="14541" xr:uid="{CB9F8AC7-794D-42D3-93FF-C16A8C84D31E}"/>
    <cellStyle name="Normal 8 2 2 4 4 4" xfId="10323" xr:uid="{B34F04DB-6A7B-43CF-A339-F22863947D67}"/>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F87D9516-B5DC-4981-A95B-2161462FA2A8}"/>
    <cellStyle name="Normal 8 2 2 4 5 2 3" xfId="12881" xr:uid="{646EF582-999A-45E6-A83A-CC292DC7DFD6}"/>
    <cellStyle name="Normal 8 2 2 4 5 3" xfId="6504" xr:uid="{00000000-0005-0000-0000-00007D1C0000}"/>
    <cellStyle name="Normal 8 2 2 4 5 3 2" xfId="14954" xr:uid="{DD9D4E86-077D-47E5-9F21-A6172509A054}"/>
    <cellStyle name="Normal 8 2 2 4 5 4" xfId="10736" xr:uid="{7616094A-1979-4193-80E1-3DD7E4B69AB3}"/>
    <cellStyle name="Normal 8 2 2 4 6" xfId="2634" xr:uid="{00000000-0005-0000-0000-00007E1C0000}"/>
    <cellStyle name="Normal 8 2 2 4 6 2" xfId="6917" xr:uid="{00000000-0005-0000-0000-00007F1C0000}"/>
    <cellStyle name="Normal 8 2 2 4 6 2 2" xfId="15367" xr:uid="{23B1B947-AE60-42A2-B2D9-7C5EB8565CB0}"/>
    <cellStyle name="Normal 8 2 2 4 6 3" xfId="11149" xr:uid="{A979C908-D318-42A8-8451-D9DE7FAA7230}"/>
    <cellStyle name="Normal 8 2 2 4 7" xfId="4852" xr:uid="{00000000-0005-0000-0000-0000801C0000}"/>
    <cellStyle name="Normal 8 2 2 4 7 2" xfId="13302" xr:uid="{91D5DA3E-0AB2-4C1D-9507-DA6835217210}"/>
    <cellStyle name="Normal 8 2 2 4 8" xfId="9084" xr:uid="{490DD2B2-55EB-468E-A73D-EEA3EA4C8E17}"/>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1D0AF64C-DDE1-44A4-8F65-D3D571DC942A}"/>
    <cellStyle name="Normal 8 2 2 5 2 3" xfId="11635" xr:uid="{BAA3B8C3-0AA2-47DD-8CBC-C33475B893DF}"/>
    <cellStyle name="Normal 8 2 2 5 3" xfId="5258" xr:uid="{00000000-0005-0000-0000-0000841C0000}"/>
    <cellStyle name="Normal 8 2 2 5 3 2" xfId="13708" xr:uid="{C45FFE75-461E-46BA-9BA2-29D11E24B6CE}"/>
    <cellStyle name="Normal 8 2 2 5 4" xfId="9490" xr:uid="{47B5824E-DF1D-4F17-AA0D-743D67DE30A7}"/>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757CB926-259F-4CCE-AA57-37C0ADFE3AC2}"/>
    <cellStyle name="Normal 8 2 2 6 2 3" xfId="12048" xr:uid="{C2ACDFC2-A676-4DC7-B1D0-671988F2151A}"/>
    <cellStyle name="Normal 8 2 2 6 3" xfId="5671" xr:uid="{00000000-0005-0000-0000-0000881C0000}"/>
    <cellStyle name="Normal 8 2 2 6 3 2" xfId="14121" xr:uid="{6D504B72-0C6E-4FCF-80F6-494C3DB61F0D}"/>
    <cellStyle name="Normal 8 2 2 6 4" xfId="9903" xr:uid="{B54DA234-51C1-41E2-829F-4EA2F7B26661}"/>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27C163C2-06AD-4C19-9E11-EF0436E63BC8}"/>
    <cellStyle name="Normal 8 2 2 7 2 3" xfId="12461" xr:uid="{9A65BCBF-CAE8-416A-9FA6-EA3810B4BCAA}"/>
    <cellStyle name="Normal 8 2 2 7 3" xfId="6084" xr:uid="{00000000-0005-0000-0000-00008C1C0000}"/>
    <cellStyle name="Normal 8 2 2 7 3 2" xfId="14534" xr:uid="{172DE7D0-F68C-40F2-9B81-FDB2633C67F1}"/>
    <cellStyle name="Normal 8 2 2 7 4" xfId="10316" xr:uid="{10403A4C-2FEF-4271-8966-47E4BF14E080}"/>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4950A574-611C-4469-9D03-546F7CE7D7B8}"/>
    <cellStyle name="Normal 8 2 2 8 2 3" xfId="12874" xr:uid="{ED0D3A79-6F18-4172-A8DF-65C9E686FF7F}"/>
    <cellStyle name="Normal 8 2 2 8 3" xfId="6497" xr:uid="{00000000-0005-0000-0000-0000901C0000}"/>
    <cellStyle name="Normal 8 2 2 8 3 2" xfId="14947" xr:uid="{50F10A99-6402-4CCF-BD6F-5DBB9F8463AD}"/>
    <cellStyle name="Normal 8 2 2 8 4" xfId="10729" xr:uid="{97851048-1952-4F76-897D-BAD08ABBE88C}"/>
    <cellStyle name="Normal 8 2 2 9" xfId="2627" xr:uid="{00000000-0005-0000-0000-0000911C0000}"/>
    <cellStyle name="Normal 8 2 2 9 2" xfId="6910" xr:uid="{00000000-0005-0000-0000-0000921C0000}"/>
    <cellStyle name="Normal 8 2 2 9 2 2" xfId="15360" xr:uid="{7446D1A6-C6CF-4F19-BC20-F66AA3882604}"/>
    <cellStyle name="Normal 8 2 2 9 3" xfId="11142" xr:uid="{9A4D3D0E-881D-4C6F-A40B-A0FB82E22775}"/>
    <cellStyle name="Normal 8 2 3" xfId="488" xr:uid="{00000000-0005-0000-0000-0000931C0000}"/>
    <cellStyle name="Normal 8 2 3 10" xfId="9085" xr:uid="{8A9D51FF-3785-4B2B-9258-C022B8A016BE}"/>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7C0443BE-5387-42F0-BC8A-F7F51F2605C0}"/>
    <cellStyle name="Normal 8 2 3 2 2 2 2 3" xfId="11645" xr:uid="{8EEE8C58-C580-4B39-8962-8C2D9F960AA1}"/>
    <cellStyle name="Normal 8 2 3 2 2 2 3" xfId="5268" xr:uid="{00000000-0005-0000-0000-0000991C0000}"/>
    <cellStyle name="Normal 8 2 3 2 2 2 3 2" xfId="13718" xr:uid="{AD99ED9E-8B7E-4459-B1D4-F9DAB49029F3}"/>
    <cellStyle name="Normal 8 2 3 2 2 2 4" xfId="9500" xr:uid="{CEFC6484-FCC6-4EA6-9243-6278EEEA872F}"/>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A6371E1D-9790-49F8-B212-078140F0E234}"/>
    <cellStyle name="Normal 8 2 3 2 2 3 2 3" xfId="12058" xr:uid="{93486B8C-03D2-42D3-8CF6-FEAA0013F9DF}"/>
    <cellStyle name="Normal 8 2 3 2 2 3 3" xfId="5681" xr:uid="{00000000-0005-0000-0000-00009D1C0000}"/>
    <cellStyle name="Normal 8 2 3 2 2 3 3 2" xfId="14131" xr:uid="{8CCAED46-B28A-45C7-9082-9FE00610A063}"/>
    <cellStyle name="Normal 8 2 3 2 2 3 4" xfId="9913" xr:uid="{048B0D30-3C28-4A8E-A5F6-43B733731A2D}"/>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6C48CF28-5625-4CA1-9D3B-04D53A75E033}"/>
    <cellStyle name="Normal 8 2 3 2 2 4 2 3" xfId="12471" xr:uid="{B328ED21-EE85-45A9-B3E8-80F4E7A226B9}"/>
    <cellStyle name="Normal 8 2 3 2 2 4 3" xfId="6094" xr:uid="{00000000-0005-0000-0000-0000A11C0000}"/>
    <cellStyle name="Normal 8 2 3 2 2 4 3 2" xfId="14544" xr:uid="{BADE367C-A583-48C1-AE64-0A73D73D810E}"/>
    <cellStyle name="Normal 8 2 3 2 2 4 4" xfId="10326" xr:uid="{78AFC365-FCED-4800-BBC1-35E2ABE496B6}"/>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BC744226-42E0-4C4E-8A5F-DA9BB6512391}"/>
    <cellStyle name="Normal 8 2 3 2 2 5 2 3" xfId="12884" xr:uid="{7192EB67-25AC-4AA2-83AA-CF40C5059DAF}"/>
    <cellStyle name="Normal 8 2 3 2 2 5 3" xfId="6507" xr:uid="{00000000-0005-0000-0000-0000A51C0000}"/>
    <cellStyle name="Normal 8 2 3 2 2 5 3 2" xfId="14957" xr:uid="{36FD6AAF-E118-4C81-85DD-BA38760AA29B}"/>
    <cellStyle name="Normal 8 2 3 2 2 5 4" xfId="10739" xr:uid="{527A0652-6191-4AA1-838B-E03DA3222549}"/>
    <cellStyle name="Normal 8 2 3 2 2 6" xfId="2637" xr:uid="{00000000-0005-0000-0000-0000A61C0000}"/>
    <cellStyle name="Normal 8 2 3 2 2 6 2" xfId="6920" xr:uid="{00000000-0005-0000-0000-0000A71C0000}"/>
    <cellStyle name="Normal 8 2 3 2 2 6 2 2" xfId="15370" xr:uid="{EC11C232-65E9-4004-AE3C-8D66DEC2483A}"/>
    <cellStyle name="Normal 8 2 3 2 2 6 3" xfId="11152" xr:uid="{67C2BC5B-CEBD-44CD-ABA7-4C2C607BF550}"/>
    <cellStyle name="Normal 8 2 3 2 2 7" xfId="4855" xr:uid="{00000000-0005-0000-0000-0000A81C0000}"/>
    <cellStyle name="Normal 8 2 3 2 2 7 2" xfId="13305" xr:uid="{185FF568-1C7D-4975-8B5F-7ED3C0D730A8}"/>
    <cellStyle name="Normal 8 2 3 2 2 8" xfId="9087" xr:uid="{A6687B87-283C-4C49-BC1A-0B82A5C0D609}"/>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76BACE6E-E01A-4859-BA0D-F85ABB988AD6}"/>
    <cellStyle name="Normal 8 2 3 2 3 2 3" xfId="11644" xr:uid="{3A3D1B31-9588-464B-9BDC-1B61C80BE2F8}"/>
    <cellStyle name="Normal 8 2 3 2 3 3" xfId="5267" xr:uid="{00000000-0005-0000-0000-0000AC1C0000}"/>
    <cellStyle name="Normal 8 2 3 2 3 3 2" xfId="13717" xr:uid="{C30FF0E3-D629-40C8-AF8C-EE71B1BE918F}"/>
    <cellStyle name="Normal 8 2 3 2 3 4" xfId="9499" xr:uid="{F0C8D34D-BA4F-402E-81E1-38F57F93435C}"/>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EDEA25E8-724C-4BC0-981F-A2EF21A21AE1}"/>
    <cellStyle name="Normal 8 2 3 2 4 2 3" xfId="12057" xr:uid="{280CB5CB-CFAA-46C4-AF36-87C683E6301B}"/>
    <cellStyle name="Normal 8 2 3 2 4 3" xfId="5680" xr:uid="{00000000-0005-0000-0000-0000B01C0000}"/>
    <cellStyle name="Normal 8 2 3 2 4 3 2" xfId="14130" xr:uid="{B7FB0594-9D43-4734-88F6-7F5953F0013E}"/>
    <cellStyle name="Normal 8 2 3 2 4 4" xfId="9912" xr:uid="{6EA0C0C3-1FC0-4F87-98A4-1E72A3C03FC1}"/>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A1ED41B0-2FC6-4DDC-B32A-FDFBF16F1FC6}"/>
    <cellStyle name="Normal 8 2 3 2 5 2 3" xfId="12470" xr:uid="{3B7E11FD-C72F-4466-A908-747E856AC6AF}"/>
    <cellStyle name="Normal 8 2 3 2 5 3" xfId="6093" xr:uid="{00000000-0005-0000-0000-0000B41C0000}"/>
    <cellStyle name="Normal 8 2 3 2 5 3 2" xfId="14543" xr:uid="{51B51232-C2AF-4B57-9F96-3988C99B9B4E}"/>
    <cellStyle name="Normal 8 2 3 2 5 4" xfId="10325" xr:uid="{8EC94379-2D10-4857-A508-2AA910B093BE}"/>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91829C76-CA4F-4BBD-94D8-025D36930DE0}"/>
    <cellStyle name="Normal 8 2 3 2 6 2 3" xfId="12883" xr:uid="{960E8336-0417-4CFE-A2EE-8B0DFA843CEB}"/>
    <cellStyle name="Normal 8 2 3 2 6 3" xfId="6506" xr:uid="{00000000-0005-0000-0000-0000B81C0000}"/>
    <cellStyle name="Normal 8 2 3 2 6 3 2" xfId="14956" xr:uid="{8F3C8138-041C-4CAC-9053-90D3AB4A31B7}"/>
    <cellStyle name="Normal 8 2 3 2 6 4" xfId="10738" xr:uid="{890314E9-9FD8-499E-AB73-A362FB5D66BF}"/>
    <cellStyle name="Normal 8 2 3 2 7" xfId="2636" xr:uid="{00000000-0005-0000-0000-0000B91C0000}"/>
    <cellStyle name="Normal 8 2 3 2 7 2" xfId="6919" xr:uid="{00000000-0005-0000-0000-0000BA1C0000}"/>
    <cellStyle name="Normal 8 2 3 2 7 2 2" xfId="15369" xr:uid="{1619EB82-64EC-4D30-8904-B3C732C74821}"/>
    <cellStyle name="Normal 8 2 3 2 7 3" xfId="11151" xr:uid="{65FD4BD4-A950-4639-AAE3-BABC3DF1FCFC}"/>
    <cellStyle name="Normal 8 2 3 2 8" xfId="4854" xr:uid="{00000000-0005-0000-0000-0000BB1C0000}"/>
    <cellStyle name="Normal 8 2 3 2 8 2" xfId="13304" xr:uid="{7DD550B1-B95E-4D57-9AA0-1792C60B7077}"/>
    <cellStyle name="Normal 8 2 3 2 9" xfId="9086" xr:uid="{67D9550B-C163-430C-BF29-51446172E919}"/>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C7AF36FD-AA8A-4858-9EB9-CEA0CBF39737}"/>
    <cellStyle name="Normal 8 2 3 3 2 2 3" xfId="11646" xr:uid="{587554BE-41C0-42C3-B9B0-F5E4503BE8FD}"/>
    <cellStyle name="Normal 8 2 3 3 2 3" xfId="5269" xr:uid="{00000000-0005-0000-0000-0000C01C0000}"/>
    <cellStyle name="Normal 8 2 3 3 2 3 2" xfId="13719" xr:uid="{05E1C63B-6A4D-4AAB-A212-F5399A10D467}"/>
    <cellStyle name="Normal 8 2 3 3 2 4" xfId="9501" xr:uid="{81F32D83-330A-4EA0-A678-032DD337EA08}"/>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74CC7803-A27D-4AE6-BF56-552A29619E07}"/>
    <cellStyle name="Normal 8 2 3 3 3 2 3" xfId="12059" xr:uid="{DC577438-47A5-479E-AB25-AA3AC849D9DF}"/>
    <cellStyle name="Normal 8 2 3 3 3 3" xfId="5682" xr:uid="{00000000-0005-0000-0000-0000C41C0000}"/>
    <cellStyle name="Normal 8 2 3 3 3 3 2" xfId="14132" xr:uid="{0C8821FC-DA6F-45E8-956D-8D401156836B}"/>
    <cellStyle name="Normal 8 2 3 3 3 4" xfId="9914" xr:uid="{D58A860A-5575-4C10-BAD3-C246A8BA1784}"/>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23BE9907-9223-4D4C-99BE-192F880D6ED2}"/>
    <cellStyle name="Normal 8 2 3 3 4 2 3" xfId="12472" xr:uid="{13A2BC61-A813-4F0B-80B9-61D49FB039E8}"/>
    <cellStyle name="Normal 8 2 3 3 4 3" xfId="6095" xr:uid="{00000000-0005-0000-0000-0000C81C0000}"/>
    <cellStyle name="Normal 8 2 3 3 4 3 2" xfId="14545" xr:uid="{DDAE5046-56F4-41F8-A05B-FE2E35D9F7D1}"/>
    <cellStyle name="Normal 8 2 3 3 4 4" xfId="10327" xr:uid="{9F367AD3-0783-4C0A-8FDF-D90BAB3D97FA}"/>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65FAB710-1201-4A70-9596-E60B9667AA3D}"/>
    <cellStyle name="Normal 8 2 3 3 5 2 3" xfId="12885" xr:uid="{7E027A39-3763-476E-A7AF-5D7708F69282}"/>
    <cellStyle name="Normal 8 2 3 3 5 3" xfId="6508" xr:uid="{00000000-0005-0000-0000-0000CC1C0000}"/>
    <cellStyle name="Normal 8 2 3 3 5 3 2" xfId="14958" xr:uid="{4F883F92-4D78-4D69-9BC5-9675DB759967}"/>
    <cellStyle name="Normal 8 2 3 3 5 4" xfId="10740" xr:uid="{1455B111-6017-4E0B-9FF0-77645700E7D0}"/>
    <cellStyle name="Normal 8 2 3 3 6" xfId="2638" xr:uid="{00000000-0005-0000-0000-0000CD1C0000}"/>
    <cellStyle name="Normal 8 2 3 3 6 2" xfId="6921" xr:uid="{00000000-0005-0000-0000-0000CE1C0000}"/>
    <cellStyle name="Normal 8 2 3 3 6 2 2" xfId="15371" xr:uid="{FF36EDEB-305D-4553-A80E-D3E0CA41DAE9}"/>
    <cellStyle name="Normal 8 2 3 3 6 3" xfId="11153" xr:uid="{F65429D0-8DE0-4A2F-9595-FC8123AF119D}"/>
    <cellStyle name="Normal 8 2 3 3 7" xfId="4856" xr:uid="{00000000-0005-0000-0000-0000CF1C0000}"/>
    <cellStyle name="Normal 8 2 3 3 7 2" xfId="13306" xr:uid="{11117C5D-F200-4956-AEB6-3C9363B4ECD4}"/>
    <cellStyle name="Normal 8 2 3 3 8" xfId="9088" xr:uid="{0E177F49-3D7A-4B7B-A03D-1992E603E7EB}"/>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59536890-5133-47D4-AF0C-1CA7C0491C57}"/>
    <cellStyle name="Normal 8 2 3 4 2 3" xfId="11643" xr:uid="{906C6588-8EBE-49C7-ACC5-64569AB02022}"/>
    <cellStyle name="Normal 8 2 3 4 3" xfId="5266" xr:uid="{00000000-0005-0000-0000-0000D31C0000}"/>
    <cellStyle name="Normal 8 2 3 4 3 2" xfId="13716" xr:uid="{B83094B6-C2DA-451A-B9F1-FD1B9280BADB}"/>
    <cellStyle name="Normal 8 2 3 4 4" xfId="9498" xr:uid="{0EF54C5D-9D57-40D9-96B1-3FE6CF86CF79}"/>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21CA4C66-7F3F-43AD-90AA-76BB5F8E59E5}"/>
    <cellStyle name="Normal 8 2 3 5 2 3" xfId="12056" xr:uid="{57A30864-D28E-4E52-8E2E-449EE1FF5DA6}"/>
    <cellStyle name="Normal 8 2 3 5 3" xfId="5679" xr:uid="{00000000-0005-0000-0000-0000D71C0000}"/>
    <cellStyle name="Normal 8 2 3 5 3 2" xfId="14129" xr:uid="{DC618E19-CC73-43B1-9A1A-C08EB71D83D2}"/>
    <cellStyle name="Normal 8 2 3 5 4" xfId="9911" xr:uid="{27B578C4-B99E-4B0F-A48E-5F3FDA61A77A}"/>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A2E293D9-807C-4E5F-A5CD-AE3FFFE015D3}"/>
    <cellStyle name="Normal 8 2 3 6 2 3" xfId="12469" xr:uid="{E708AD9C-0269-464A-8690-986A3EECCBA5}"/>
    <cellStyle name="Normal 8 2 3 6 3" xfId="6092" xr:uid="{00000000-0005-0000-0000-0000DB1C0000}"/>
    <cellStyle name="Normal 8 2 3 6 3 2" xfId="14542" xr:uid="{945A36CA-92E2-4AA7-9B3E-91D0C432958B}"/>
    <cellStyle name="Normal 8 2 3 6 4" xfId="10324" xr:uid="{501DD8CB-B565-44AA-AF8F-DB1A20BF81AA}"/>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6C9D89F3-9864-4089-8D19-14FE321FD13F}"/>
    <cellStyle name="Normal 8 2 3 7 2 3" xfId="12882" xr:uid="{091ED97B-D6D9-4027-9CA7-63E4FF35EE74}"/>
    <cellStyle name="Normal 8 2 3 7 3" xfId="6505" xr:uid="{00000000-0005-0000-0000-0000DF1C0000}"/>
    <cellStyle name="Normal 8 2 3 7 3 2" xfId="14955" xr:uid="{ECE61C10-3456-4A8A-B31F-7E96463A8034}"/>
    <cellStyle name="Normal 8 2 3 7 4" xfId="10737" xr:uid="{CA3CABD6-05CB-4DDE-BC59-BC6358F60428}"/>
    <cellStyle name="Normal 8 2 3 8" xfId="2635" xr:uid="{00000000-0005-0000-0000-0000E01C0000}"/>
    <cellStyle name="Normal 8 2 3 8 2" xfId="6918" xr:uid="{00000000-0005-0000-0000-0000E11C0000}"/>
    <cellStyle name="Normal 8 2 3 8 2 2" xfId="15368" xr:uid="{EAAC1228-C4EB-4369-8B59-BE1D0C121AF3}"/>
    <cellStyle name="Normal 8 2 3 8 3" xfId="11150" xr:uid="{E73CDA0A-967F-40D6-AA45-F28AAFDB4412}"/>
    <cellStyle name="Normal 8 2 3 9" xfId="4853" xr:uid="{00000000-0005-0000-0000-0000E21C0000}"/>
    <cellStyle name="Normal 8 2 3 9 2" xfId="13303" xr:uid="{2348CDA8-A6DC-45F9-8DDF-8DB8932B64F5}"/>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04A882F3-25B9-4979-89AB-F01D9B457BA5}"/>
    <cellStyle name="Normal 8 2 4 2 2 2 3" xfId="11648" xr:uid="{DD4D04A0-48F8-423B-85B8-71EFF0F6E91E}"/>
    <cellStyle name="Normal 8 2 4 2 2 3" xfId="5271" xr:uid="{00000000-0005-0000-0000-0000E81C0000}"/>
    <cellStyle name="Normal 8 2 4 2 2 3 2" xfId="13721" xr:uid="{673741E3-13F2-4D5C-B9BF-20AFADBEEC02}"/>
    <cellStyle name="Normal 8 2 4 2 2 4" xfId="9503" xr:uid="{5553A425-5FE8-4611-AD40-5C2DF23796FF}"/>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F17313F4-87B2-40EF-9B51-ACC11AA74AFC}"/>
    <cellStyle name="Normal 8 2 4 2 3 2 3" xfId="12061" xr:uid="{9BE2BC8F-FAD2-4D88-A6CB-0C1E803AFD1E}"/>
    <cellStyle name="Normal 8 2 4 2 3 3" xfId="5684" xr:uid="{00000000-0005-0000-0000-0000EC1C0000}"/>
    <cellStyle name="Normal 8 2 4 2 3 3 2" xfId="14134" xr:uid="{5917B3CA-7772-4D7A-BE9F-11A9A7649CF1}"/>
    <cellStyle name="Normal 8 2 4 2 3 4" xfId="9916" xr:uid="{5713558C-B970-4DB0-B604-EE61805FF1B0}"/>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E810A330-5297-4A20-B885-0621348A7FC3}"/>
    <cellStyle name="Normal 8 2 4 2 4 2 3" xfId="12474" xr:uid="{6A40B7D9-1674-405E-9F01-8562604CCF7E}"/>
    <cellStyle name="Normal 8 2 4 2 4 3" xfId="6097" xr:uid="{00000000-0005-0000-0000-0000F01C0000}"/>
    <cellStyle name="Normal 8 2 4 2 4 3 2" xfId="14547" xr:uid="{CBB2E374-8A54-4106-BC8D-D05BE6EAC116}"/>
    <cellStyle name="Normal 8 2 4 2 4 4" xfId="10329" xr:uid="{241B0F81-3D9C-443A-99F0-095FDBA07D33}"/>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C77EAA56-4C32-49BB-8812-ADB12B1DF703}"/>
    <cellStyle name="Normal 8 2 4 2 5 2 3" xfId="12887" xr:uid="{ED41C3B7-B2E1-4878-AB06-E1101ED39656}"/>
    <cellStyle name="Normal 8 2 4 2 5 3" xfId="6510" xr:uid="{00000000-0005-0000-0000-0000F41C0000}"/>
    <cellStyle name="Normal 8 2 4 2 5 3 2" xfId="14960" xr:uid="{A597FAEF-A984-454A-924D-B8E39451927D}"/>
    <cellStyle name="Normal 8 2 4 2 5 4" xfId="10742" xr:uid="{7E577DB5-6B69-4FB7-BBB8-FFB7828C64B2}"/>
    <cellStyle name="Normal 8 2 4 2 6" xfId="2640" xr:uid="{00000000-0005-0000-0000-0000F51C0000}"/>
    <cellStyle name="Normal 8 2 4 2 6 2" xfId="6923" xr:uid="{00000000-0005-0000-0000-0000F61C0000}"/>
    <cellStyle name="Normal 8 2 4 2 6 2 2" xfId="15373" xr:uid="{964BC878-D1DB-4F60-BBA5-49F4AD19BAF8}"/>
    <cellStyle name="Normal 8 2 4 2 6 3" xfId="11155" xr:uid="{E3E3B581-B357-41B6-B6DA-8EB815D129FE}"/>
    <cellStyle name="Normal 8 2 4 2 7" xfId="4858" xr:uid="{00000000-0005-0000-0000-0000F71C0000}"/>
    <cellStyle name="Normal 8 2 4 2 7 2" xfId="13308" xr:uid="{0E53177E-D496-4B40-AC83-956B443522EA}"/>
    <cellStyle name="Normal 8 2 4 2 8" xfId="9090" xr:uid="{5CF995A6-8A7B-4F20-9B6F-6AD0B7C0FD66}"/>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220F18C4-43FD-47CE-B08D-04AE91BBACE9}"/>
    <cellStyle name="Normal 8 2 4 3 2 3" xfId="11647" xr:uid="{1E247ECF-32CC-4650-9415-48DCD7569805}"/>
    <cellStyle name="Normal 8 2 4 3 3" xfId="5270" xr:uid="{00000000-0005-0000-0000-0000FB1C0000}"/>
    <cellStyle name="Normal 8 2 4 3 3 2" xfId="13720" xr:uid="{23009B13-C403-4ACB-B3B2-4557CD51E860}"/>
    <cellStyle name="Normal 8 2 4 3 4" xfId="9502" xr:uid="{4CD8E72D-A66E-4D74-A3E1-D4582B16A6A0}"/>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F8016E8A-553F-4CBD-A258-1C1A7AA46C4C}"/>
    <cellStyle name="Normal 8 2 4 4 2 3" xfId="12060" xr:uid="{B7E1C3F4-FDDC-4BFA-BAE6-BD56922FEA95}"/>
    <cellStyle name="Normal 8 2 4 4 3" xfId="5683" xr:uid="{00000000-0005-0000-0000-0000FF1C0000}"/>
    <cellStyle name="Normal 8 2 4 4 3 2" xfId="14133" xr:uid="{2283BB20-C403-4B89-AFBB-D007FE282A94}"/>
    <cellStyle name="Normal 8 2 4 4 4" xfId="9915" xr:uid="{FB5CA11D-D9C5-4E45-9FA2-DD8E9C9C32B9}"/>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1F28E695-A3A3-4973-BB1D-0DFA3B84CF7C}"/>
    <cellStyle name="Normal 8 2 4 5 2 3" xfId="12473" xr:uid="{18022044-6DC5-4B63-A9BB-943E4EF5E4B0}"/>
    <cellStyle name="Normal 8 2 4 5 3" xfId="6096" xr:uid="{00000000-0005-0000-0000-0000031D0000}"/>
    <cellStyle name="Normal 8 2 4 5 3 2" xfId="14546" xr:uid="{79F9853D-1DAF-4067-9298-0A14E0394DCF}"/>
    <cellStyle name="Normal 8 2 4 5 4" xfId="10328" xr:uid="{F43BF4AE-292D-4E8B-9572-0B6F959330F0}"/>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2C14301F-9A60-4378-9662-302F7A8E5A5F}"/>
    <cellStyle name="Normal 8 2 4 6 2 3" xfId="12886" xr:uid="{42F95D80-B110-4713-9CB1-A2D4167A2FBD}"/>
    <cellStyle name="Normal 8 2 4 6 3" xfId="6509" xr:uid="{00000000-0005-0000-0000-0000071D0000}"/>
    <cellStyle name="Normal 8 2 4 6 3 2" xfId="14959" xr:uid="{9502DAA9-DAE3-4850-A91F-D4EBFA788AAF}"/>
    <cellStyle name="Normal 8 2 4 6 4" xfId="10741" xr:uid="{DF2A1ABD-C660-4E31-9B0D-5D546C450CA1}"/>
    <cellStyle name="Normal 8 2 4 7" xfId="2639" xr:uid="{00000000-0005-0000-0000-0000081D0000}"/>
    <cellStyle name="Normal 8 2 4 7 2" xfId="6922" xr:uid="{00000000-0005-0000-0000-0000091D0000}"/>
    <cellStyle name="Normal 8 2 4 7 2 2" xfId="15372" xr:uid="{4806BA40-C832-41FC-9A53-E473F82778B9}"/>
    <cellStyle name="Normal 8 2 4 7 3" xfId="11154" xr:uid="{61E03E01-674D-4CA6-956F-A2A894787D4C}"/>
    <cellStyle name="Normal 8 2 4 8" xfId="4857" xr:uid="{00000000-0005-0000-0000-00000A1D0000}"/>
    <cellStyle name="Normal 8 2 4 8 2" xfId="13307" xr:uid="{93164E26-46F4-432E-9C9A-CE55DB885BF0}"/>
    <cellStyle name="Normal 8 2 4 9" xfId="9089" xr:uid="{1886DF69-FDE6-49E5-8BA6-E7EADD340E21}"/>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0F790D14-538C-44E7-8B86-50AAAEC20B83}"/>
    <cellStyle name="Normal 8 2 5 2 2 3" xfId="11649" xr:uid="{F6166534-0402-4B0E-879F-959E6698A127}"/>
    <cellStyle name="Normal 8 2 5 2 3" xfId="5272" xr:uid="{00000000-0005-0000-0000-00000F1D0000}"/>
    <cellStyle name="Normal 8 2 5 2 3 2" xfId="13722" xr:uid="{24FFA9BD-FA4D-4B66-BF95-27E6F0D9BDD3}"/>
    <cellStyle name="Normal 8 2 5 2 4" xfId="9504" xr:uid="{2460BEE5-7B6D-4382-A40B-FACFB2206B33}"/>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64DAB8CD-CBC3-4F70-8B74-6F0B938EE1C3}"/>
    <cellStyle name="Normal 8 2 5 3 2 3" xfId="12062" xr:uid="{22D6A320-D647-422A-B021-F73F0DC8E399}"/>
    <cellStyle name="Normal 8 2 5 3 3" xfId="5685" xr:uid="{00000000-0005-0000-0000-0000131D0000}"/>
    <cellStyle name="Normal 8 2 5 3 3 2" xfId="14135" xr:uid="{FE5A34F4-070A-4F3F-8DA5-C8F2F48DC60B}"/>
    <cellStyle name="Normal 8 2 5 3 4" xfId="9917" xr:uid="{0D1C31C3-5583-4C46-B405-6074F0411D5A}"/>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E8FD451F-8655-4595-B51A-45D4F7D029D9}"/>
    <cellStyle name="Normal 8 2 5 4 2 3" xfId="12475" xr:uid="{92571D9D-4B19-4599-8BC6-0F3F7CEC65C6}"/>
    <cellStyle name="Normal 8 2 5 4 3" xfId="6098" xr:uid="{00000000-0005-0000-0000-0000171D0000}"/>
    <cellStyle name="Normal 8 2 5 4 3 2" xfId="14548" xr:uid="{415CBEB0-DBAC-40DE-AA6C-8A2D07022937}"/>
    <cellStyle name="Normal 8 2 5 4 4" xfId="10330" xr:uid="{2167D127-E9DF-4AFC-9CFA-54DC96851130}"/>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EA8D8F7A-1815-4426-B0AB-19560450D0B0}"/>
    <cellStyle name="Normal 8 2 5 5 2 3" xfId="12888" xr:uid="{E1579941-95FC-4982-84F3-9AD64DCD715E}"/>
    <cellStyle name="Normal 8 2 5 5 3" xfId="6511" xr:uid="{00000000-0005-0000-0000-00001B1D0000}"/>
    <cellStyle name="Normal 8 2 5 5 3 2" xfId="14961" xr:uid="{7D1EBB60-32CD-472F-9DB0-8C8444DE0B24}"/>
    <cellStyle name="Normal 8 2 5 5 4" xfId="10743" xr:uid="{25A9C4DD-973F-4E33-AFFF-A0758EE29E9F}"/>
    <cellStyle name="Normal 8 2 5 6" xfId="2641" xr:uid="{00000000-0005-0000-0000-00001C1D0000}"/>
    <cellStyle name="Normal 8 2 5 6 2" xfId="6924" xr:uid="{00000000-0005-0000-0000-00001D1D0000}"/>
    <cellStyle name="Normal 8 2 5 6 2 2" xfId="15374" xr:uid="{7173EAEF-D0FD-4459-8DC0-406BED0C0E88}"/>
    <cellStyle name="Normal 8 2 5 6 3" xfId="11156" xr:uid="{4F51CA9B-01C8-45CE-83D3-BAEC946BA14C}"/>
    <cellStyle name="Normal 8 2 5 7" xfId="4859" xr:uid="{00000000-0005-0000-0000-00001E1D0000}"/>
    <cellStyle name="Normal 8 2 5 7 2" xfId="13309" xr:uid="{E9C1F7F6-4586-4A17-A634-0F0B1C0F9178}"/>
    <cellStyle name="Normal 8 2 5 8" xfId="9091" xr:uid="{AEA3AE61-8D13-484F-BC6D-A475FD30B291}"/>
    <cellStyle name="Normal 8 2 6" xfId="946" xr:uid="{00000000-0005-0000-0000-00001F1D0000}"/>
    <cellStyle name="Normal 8 2 6 2" xfId="3180" xr:uid="{00000000-0005-0000-0000-0000201D0000}"/>
    <cellStyle name="Normal 8 2 6 2 2" xfId="7402" xr:uid="{00000000-0005-0000-0000-0000211D0000}"/>
    <cellStyle name="Normal 8 2 6 2 2 2" xfId="15852" xr:uid="{E79BD6EE-4280-40BF-B7E3-02B5553A83F5}"/>
    <cellStyle name="Normal 8 2 6 2 3" xfId="11634" xr:uid="{0680F91E-323A-4F21-A3B0-A6D189183E96}"/>
    <cellStyle name="Normal 8 2 6 3" xfId="5257" xr:uid="{00000000-0005-0000-0000-0000221D0000}"/>
    <cellStyle name="Normal 8 2 6 3 2" xfId="13707" xr:uid="{00B89B97-BCA6-4E85-AD55-D653AADF9E4F}"/>
    <cellStyle name="Normal 8 2 6 4" xfId="9489" xr:uid="{3BA65F54-7457-47FA-B821-10671C6AF379}"/>
    <cellStyle name="Normal 8 2 7" xfId="1363" xr:uid="{00000000-0005-0000-0000-0000231D0000}"/>
    <cellStyle name="Normal 8 2 7 2" xfId="3593" xr:uid="{00000000-0005-0000-0000-0000241D0000}"/>
    <cellStyle name="Normal 8 2 7 2 2" xfId="7815" xr:uid="{00000000-0005-0000-0000-0000251D0000}"/>
    <cellStyle name="Normal 8 2 7 2 2 2" xfId="16265" xr:uid="{3D4344D7-1BDD-49A5-91E2-F53AC56C1B0B}"/>
    <cellStyle name="Normal 8 2 7 2 3" xfId="12047" xr:uid="{D5E7A048-A64E-4CD2-8DA3-A0121BBFD47A}"/>
    <cellStyle name="Normal 8 2 7 3" xfId="5670" xr:uid="{00000000-0005-0000-0000-0000261D0000}"/>
    <cellStyle name="Normal 8 2 7 3 2" xfId="14120" xr:uid="{D2135E88-90C0-40DE-8685-2E400BD1531C}"/>
    <cellStyle name="Normal 8 2 7 4" xfId="9902" xr:uid="{F169F8A7-7924-46FC-8F30-2F6233AF357A}"/>
    <cellStyle name="Normal 8 2 8" xfId="1776" xr:uid="{00000000-0005-0000-0000-0000271D0000}"/>
    <cellStyle name="Normal 8 2 8 2" xfId="4006" xr:uid="{00000000-0005-0000-0000-0000281D0000}"/>
    <cellStyle name="Normal 8 2 8 2 2" xfId="8228" xr:uid="{00000000-0005-0000-0000-0000291D0000}"/>
    <cellStyle name="Normal 8 2 8 2 2 2" xfId="16678" xr:uid="{DCA1B42E-0F9C-4BDA-8BD6-DA8442105647}"/>
    <cellStyle name="Normal 8 2 8 2 3" xfId="12460" xr:uid="{AAFD7743-BE9B-430F-A547-C3F5FCB05C76}"/>
    <cellStyle name="Normal 8 2 8 3" xfId="6083" xr:uid="{00000000-0005-0000-0000-00002A1D0000}"/>
    <cellStyle name="Normal 8 2 8 3 2" xfId="14533" xr:uid="{7E751836-0520-4A95-A3CA-1A0E2C112422}"/>
    <cellStyle name="Normal 8 2 8 4" xfId="10315" xr:uid="{9DB0FA2B-3381-4A18-9F95-384F86A77127}"/>
    <cellStyle name="Normal 8 2 9" xfId="2190" xr:uid="{00000000-0005-0000-0000-00002B1D0000}"/>
    <cellStyle name="Normal 8 2 9 2" xfId="4419" xr:uid="{00000000-0005-0000-0000-00002C1D0000}"/>
    <cellStyle name="Normal 8 2 9 2 2" xfId="8641" xr:uid="{00000000-0005-0000-0000-00002D1D0000}"/>
    <cellStyle name="Normal 8 2 9 2 2 2" xfId="17091" xr:uid="{26C71EB7-00DF-4F8D-ABD8-CA62C51A13CB}"/>
    <cellStyle name="Normal 8 2 9 2 3" xfId="12873" xr:uid="{D92312EA-145D-4CE1-990C-F08C39C184F0}"/>
    <cellStyle name="Normal 8 2 9 3" xfId="6496" xr:uid="{00000000-0005-0000-0000-00002E1D0000}"/>
    <cellStyle name="Normal 8 2 9 3 2" xfId="14946" xr:uid="{C5C094C3-55D4-4DDE-9AD3-52A96D8AFBC3}"/>
    <cellStyle name="Normal 8 2 9 4" xfId="10728" xr:uid="{2DBADC87-3FDC-41F1-84AD-091D02C02AF1}"/>
    <cellStyle name="Normal 8 3" xfId="495" xr:uid="{00000000-0005-0000-0000-00002F1D0000}"/>
    <cellStyle name="Normal 8 3 10" xfId="4860" xr:uid="{00000000-0005-0000-0000-0000301D0000}"/>
    <cellStyle name="Normal 8 3 10 2" xfId="13310" xr:uid="{FBE1B4E1-7E4D-48DE-861F-818BD452C19C}"/>
    <cellStyle name="Normal 8 3 11" xfId="9092" xr:uid="{8A969376-C762-4DE6-A867-1A21914A651D}"/>
    <cellStyle name="Normal 8 3 2" xfId="496" xr:uid="{00000000-0005-0000-0000-0000311D0000}"/>
    <cellStyle name="Normal 8 3 2 10" xfId="9093" xr:uid="{E1A4BDDC-503C-4D46-BFC8-CD7082ACD4B8}"/>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D23FC2A1-01AB-4B09-95E0-F8C3100EC330}"/>
    <cellStyle name="Normal 8 3 2 2 2 2 2 3" xfId="11653" xr:uid="{F17837F7-5B55-49E6-A63A-766EDD2364EE}"/>
    <cellStyle name="Normal 8 3 2 2 2 2 3" xfId="5276" xr:uid="{00000000-0005-0000-0000-0000371D0000}"/>
    <cellStyle name="Normal 8 3 2 2 2 2 3 2" xfId="13726" xr:uid="{4C16EB86-B395-4840-94D1-DB3B68F809FE}"/>
    <cellStyle name="Normal 8 3 2 2 2 2 4" xfId="9508" xr:uid="{FCA136D6-AE9E-4435-914D-634DB56A6AC3}"/>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B508D32D-3A42-4151-9C66-0F5E4654BAC6}"/>
    <cellStyle name="Normal 8 3 2 2 2 3 2 3" xfId="12066" xr:uid="{535C259C-3878-4236-B087-7438ED6928AF}"/>
    <cellStyle name="Normal 8 3 2 2 2 3 3" xfId="5689" xr:uid="{00000000-0005-0000-0000-00003B1D0000}"/>
    <cellStyle name="Normal 8 3 2 2 2 3 3 2" xfId="14139" xr:uid="{DFE816B9-0688-42D8-B414-7E745940CE21}"/>
    <cellStyle name="Normal 8 3 2 2 2 3 4" xfId="9921" xr:uid="{0239D84B-46FC-459A-B076-81BC0E7EFE04}"/>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18CAD67E-1C6E-4B53-AF93-1669A589B65B}"/>
    <cellStyle name="Normal 8 3 2 2 2 4 2 3" xfId="12479" xr:uid="{3275C312-C415-4E40-9D4B-F69893CB0433}"/>
    <cellStyle name="Normal 8 3 2 2 2 4 3" xfId="6102" xr:uid="{00000000-0005-0000-0000-00003F1D0000}"/>
    <cellStyle name="Normal 8 3 2 2 2 4 3 2" xfId="14552" xr:uid="{DDF58C41-F59D-46AA-B4C7-3EBA2092EDD4}"/>
    <cellStyle name="Normal 8 3 2 2 2 4 4" xfId="10334" xr:uid="{039448A2-17B7-4B60-93A7-C0D935ECC872}"/>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8D77FC42-EF41-4938-BCF2-58094B30373C}"/>
    <cellStyle name="Normal 8 3 2 2 2 5 2 3" xfId="12892" xr:uid="{97D484B4-41DF-4CE3-A77C-AFF88BA12FE5}"/>
    <cellStyle name="Normal 8 3 2 2 2 5 3" xfId="6515" xr:uid="{00000000-0005-0000-0000-0000431D0000}"/>
    <cellStyle name="Normal 8 3 2 2 2 5 3 2" xfId="14965" xr:uid="{6D0882DB-0EFA-46AB-B049-69F0A9C0D4ED}"/>
    <cellStyle name="Normal 8 3 2 2 2 5 4" xfId="10747" xr:uid="{DAB6893C-62B5-4450-9D3C-84FDD3B9D66C}"/>
    <cellStyle name="Normal 8 3 2 2 2 6" xfId="2645" xr:uid="{00000000-0005-0000-0000-0000441D0000}"/>
    <cellStyle name="Normal 8 3 2 2 2 6 2" xfId="6928" xr:uid="{00000000-0005-0000-0000-0000451D0000}"/>
    <cellStyle name="Normal 8 3 2 2 2 6 2 2" xfId="15378" xr:uid="{0DBD8A27-9781-4306-8C45-70E0E098A091}"/>
    <cellStyle name="Normal 8 3 2 2 2 6 3" xfId="11160" xr:uid="{BAA83D40-2C72-4A1A-B19F-80097B8B517F}"/>
    <cellStyle name="Normal 8 3 2 2 2 7" xfId="4863" xr:uid="{00000000-0005-0000-0000-0000461D0000}"/>
    <cellStyle name="Normal 8 3 2 2 2 7 2" xfId="13313" xr:uid="{08FDC3DC-43EC-4A61-9E8D-263E98F17AC6}"/>
    <cellStyle name="Normal 8 3 2 2 2 8" xfId="9095" xr:uid="{53D0E4DD-89C3-4523-99A9-8E60347EEC30}"/>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D6765966-DC09-4819-A6A8-8637115B1BC1}"/>
    <cellStyle name="Normal 8 3 2 2 3 2 3" xfId="11652" xr:uid="{5C40E804-F8F9-4839-A41D-414D5FB949DF}"/>
    <cellStyle name="Normal 8 3 2 2 3 3" xfId="5275" xr:uid="{00000000-0005-0000-0000-00004A1D0000}"/>
    <cellStyle name="Normal 8 3 2 2 3 3 2" xfId="13725" xr:uid="{AEC9BD38-4658-4A5C-A89D-DF6A230D3F86}"/>
    <cellStyle name="Normal 8 3 2 2 3 4" xfId="9507" xr:uid="{134B041B-215E-448E-80A9-BD903C8E47CA}"/>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1CF2C39E-A9DF-4300-BAB5-AA8C704DBBD9}"/>
    <cellStyle name="Normal 8 3 2 2 4 2 3" xfId="12065" xr:uid="{4CE29093-8206-4FE8-A1AF-C125153C32E9}"/>
    <cellStyle name="Normal 8 3 2 2 4 3" xfId="5688" xr:uid="{00000000-0005-0000-0000-00004E1D0000}"/>
    <cellStyle name="Normal 8 3 2 2 4 3 2" xfId="14138" xr:uid="{6D2F9756-780D-4AE1-B3C9-528E3207E739}"/>
    <cellStyle name="Normal 8 3 2 2 4 4" xfId="9920" xr:uid="{733F3B66-7F7A-4BEB-BEF7-D0A974217A3F}"/>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B5257D66-C5BF-42CC-93E7-EC53DE224E82}"/>
    <cellStyle name="Normal 8 3 2 2 5 2 3" xfId="12478" xr:uid="{0367955D-993B-4171-AACD-E49E98DCB9DF}"/>
    <cellStyle name="Normal 8 3 2 2 5 3" xfId="6101" xr:uid="{00000000-0005-0000-0000-0000521D0000}"/>
    <cellStyle name="Normal 8 3 2 2 5 3 2" xfId="14551" xr:uid="{EC38823C-BE66-487F-8B8F-C7AAA615D305}"/>
    <cellStyle name="Normal 8 3 2 2 5 4" xfId="10333" xr:uid="{12049999-32AD-4C80-A7C7-64F55D091965}"/>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A365833B-72E7-4E4F-8880-CEB17C72E310}"/>
    <cellStyle name="Normal 8 3 2 2 6 2 3" xfId="12891" xr:uid="{D472B99C-1FB7-416E-83A8-16D76E894C90}"/>
    <cellStyle name="Normal 8 3 2 2 6 3" xfId="6514" xr:uid="{00000000-0005-0000-0000-0000561D0000}"/>
    <cellStyle name="Normal 8 3 2 2 6 3 2" xfId="14964" xr:uid="{2A577629-D8C3-47F7-B6FD-B4BB1095D6B1}"/>
    <cellStyle name="Normal 8 3 2 2 6 4" xfId="10746" xr:uid="{1A984505-E43A-4FFF-B928-32D3386B924A}"/>
    <cellStyle name="Normal 8 3 2 2 7" xfId="2644" xr:uid="{00000000-0005-0000-0000-0000571D0000}"/>
    <cellStyle name="Normal 8 3 2 2 7 2" xfId="6927" xr:uid="{00000000-0005-0000-0000-0000581D0000}"/>
    <cellStyle name="Normal 8 3 2 2 7 2 2" xfId="15377" xr:uid="{0731618B-C456-4125-B7A3-991037E8B150}"/>
    <cellStyle name="Normal 8 3 2 2 7 3" xfId="11159" xr:uid="{C02873B9-67FE-492E-9FD3-F32C6660C832}"/>
    <cellStyle name="Normal 8 3 2 2 8" xfId="4862" xr:uid="{00000000-0005-0000-0000-0000591D0000}"/>
    <cellStyle name="Normal 8 3 2 2 8 2" xfId="13312" xr:uid="{3E02EC70-8597-4CB2-86A9-AB20A9358051}"/>
    <cellStyle name="Normal 8 3 2 2 9" xfId="9094" xr:uid="{C0D38E86-C545-4C85-B639-42A0BC3E468C}"/>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522353BF-A1B8-460A-ADB6-68747EE1DFE0}"/>
    <cellStyle name="Normal 8 3 2 3 2 2 3" xfId="11654" xr:uid="{AD0A3A8D-302E-4BF5-8FD2-DEA73DE7A0B1}"/>
    <cellStyle name="Normal 8 3 2 3 2 3" xfId="5277" xr:uid="{00000000-0005-0000-0000-00005E1D0000}"/>
    <cellStyle name="Normal 8 3 2 3 2 3 2" xfId="13727" xr:uid="{D3B43A60-09A8-4907-AD10-F7B6E67C3AE0}"/>
    <cellStyle name="Normal 8 3 2 3 2 4" xfId="9509" xr:uid="{D5E86A7C-55F6-4E61-9775-5085590C1C7F}"/>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B2748C51-49DC-49D9-8C15-5800DFD803DB}"/>
    <cellStyle name="Normal 8 3 2 3 3 2 3" xfId="12067" xr:uid="{11B678F3-E35C-491E-AD02-8535108CE1D5}"/>
    <cellStyle name="Normal 8 3 2 3 3 3" xfId="5690" xr:uid="{00000000-0005-0000-0000-0000621D0000}"/>
    <cellStyle name="Normal 8 3 2 3 3 3 2" xfId="14140" xr:uid="{7ABA41BE-CFC8-4CD7-8D45-11608EC557B6}"/>
    <cellStyle name="Normal 8 3 2 3 3 4" xfId="9922" xr:uid="{950E4ACF-A9A3-4E87-B368-25F136994BF1}"/>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3C129CC7-D9EA-4736-B9B5-6F45E9935080}"/>
    <cellStyle name="Normal 8 3 2 3 4 2 3" xfId="12480" xr:uid="{A9BE2B50-1D79-476F-BDAC-33D61A1D71C4}"/>
    <cellStyle name="Normal 8 3 2 3 4 3" xfId="6103" xr:uid="{00000000-0005-0000-0000-0000661D0000}"/>
    <cellStyle name="Normal 8 3 2 3 4 3 2" xfId="14553" xr:uid="{85FC4AEA-A8A9-4E41-9986-9FC4AFF0DD07}"/>
    <cellStyle name="Normal 8 3 2 3 4 4" xfId="10335" xr:uid="{1C928788-1652-4093-8045-2BBF64C7D937}"/>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706CB713-9787-4088-B7AA-681140AE12F5}"/>
    <cellStyle name="Normal 8 3 2 3 5 2 3" xfId="12893" xr:uid="{4D5AB4B3-3E2B-4A61-AE35-5C2F84D0706E}"/>
    <cellStyle name="Normal 8 3 2 3 5 3" xfId="6516" xr:uid="{00000000-0005-0000-0000-00006A1D0000}"/>
    <cellStyle name="Normal 8 3 2 3 5 3 2" xfId="14966" xr:uid="{500FF423-ADB4-475A-A6DE-0FA8995EAF03}"/>
    <cellStyle name="Normal 8 3 2 3 5 4" xfId="10748" xr:uid="{D64628BA-B1A6-444F-B42E-8C5371634291}"/>
    <cellStyle name="Normal 8 3 2 3 6" xfId="2646" xr:uid="{00000000-0005-0000-0000-00006B1D0000}"/>
    <cellStyle name="Normal 8 3 2 3 6 2" xfId="6929" xr:uid="{00000000-0005-0000-0000-00006C1D0000}"/>
    <cellStyle name="Normal 8 3 2 3 6 2 2" xfId="15379" xr:uid="{05DE74C2-F584-4723-8111-F23C12807DF7}"/>
    <cellStyle name="Normal 8 3 2 3 6 3" xfId="11161" xr:uid="{A931BC03-EE24-4E4D-A628-73B70AB24F06}"/>
    <cellStyle name="Normal 8 3 2 3 7" xfId="4864" xr:uid="{00000000-0005-0000-0000-00006D1D0000}"/>
    <cellStyle name="Normal 8 3 2 3 7 2" xfId="13314" xr:uid="{8BCBB1B1-DCF7-4602-BE83-4E241BF2502E}"/>
    <cellStyle name="Normal 8 3 2 3 8" xfId="9096" xr:uid="{8FFAB3F8-D143-4B21-AC24-10C050ABD6B4}"/>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6F62E944-A9F7-499F-A640-9F1A877C194B}"/>
    <cellStyle name="Normal 8 3 2 4 2 3" xfId="11651" xr:uid="{1927A32D-BCCE-42B2-BAA0-EEA7391DF39F}"/>
    <cellStyle name="Normal 8 3 2 4 3" xfId="5274" xr:uid="{00000000-0005-0000-0000-0000711D0000}"/>
    <cellStyle name="Normal 8 3 2 4 3 2" xfId="13724" xr:uid="{182C3D4E-3C08-4741-BE48-9C06F423AE79}"/>
    <cellStyle name="Normal 8 3 2 4 4" xfId="9506" xr:uid="{6D2D7FBC-647C-413A-95DA-BCA335539F50}"/>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29574682-F44D-4CF3-93CC-A68156EA95A8}"/>
    <cellStyle name="Normal 8 3 2 5 2 3" xfId="12064" xr:uid="{2EFD1588-A6B8-4870-A25B-E37CF04A2D58}"/>
    <cellStyle name="Normal 8 3 2 5 3" xfId="5687" xr:uid="{00000000-0005-0000-0000-0000751D0000}"/>
    <cellStyle name="Normal 8 3 2 5 3 2" xfId="14137" xr:uid="{525BAEBF-7050-480D-8747-76D101280D72}"/>
    <cellStyle name="Normal 8 3 2 5 4" xfId="9919" xr:uid="{0534C5FA-71DD-4E9C-8CA1-B99125352C22}"/>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FD389F37-F353-4F35-890D-6A803A0575D3}"/>
    <cellStyle name="Normal 8 3 2 6 2 3" xfId="12477" xr:uid="{FECC4E94-E4BA-403B-9168-9F69C53EAB74}"/>
    <cellStyle name="Normal 8 3 2 6 3" xfId="6100" xr:uid="{00000000-0005-0000-0000-0000791D0000}"/>
    <cellStyle name="Normal 8 3 2 6 3 2" xfId="14550" xr:uid="{6255B199-E952-4D8F-82E6-E6A755825EB3}"/>
    <cellStyle name="Normal 8 3 2 6 4" xfId="10332" xr:uid="{4541C939-CCEA-4FC3-9C0A-EE06CE529935}"/>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8DD6BD04-D77A-4B80-8902-312FCDA65782}"/>
    <cellStyle name="Normal 8 3 2 7 2 3" xfId="12890" xr:uid="{563FAA3C-B7CB-4E1B-843A-F048CA47873C}"/>
    <cellStyle name="Normal 8 3 2 7 3" xfId="6513" xr:uid="{00000000-0005-0000-0000-00007D1D0000}"/>
    <cellStyle name="Normal 8 3 2 7 3 2" xfId="14963" xr:uid="{7D0B4B62-0793-41D9-B441-FCB8603AF94D}"/>
    <cellStyle name="Normal 8 3 2 7 4" xfId="10745" xr:uid="{C6398E48-94AE-499A-9BB0-E4478371B36F}"/>
    <cellStyle name="Normal 8 3 2 8" xfId="2643" xr:uid="{00000000-0005-0000-0000-00007E1D0000}"/>
    <cellStyle name="Normal 8 3 2 8 2" xfId="6926" xr:uid="{00000000-0005-0000-0000-00007F1D0000}"/>
    <cellStyle name="Normal 8 3 2 8 2 2" xfId="15376" xr:uid="{830A5E53-9703-4A66-BEF3-6E285F58B743}"/>
    <cellStyle name="Normal 8 3 2 8 3" xfId="11158" xr:uid="{A6A0F824-001C-4C75-AB84-19C24154561F}"/>
    <cellStyle name="Normal 8 3 2 9" xfId="4861" xr:uid="{00000000-0005-0000-0000-0000801D0000}"/>
    <cellStyle name="Normal 8 3 2 9 2" xfId="13311" xr:uid="{8FDB06CA-870D-4FE1-81DA-CCB84EBA68BE}"/>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5B64C857-E95C-463C-9DE2-5C2352765136}"/>
    <cellStyle name="Normal 8 3 3 2 2 2 3" xfId="11656" xr:uid="{EC0A5660-362F-41CA-A720-189815ACFD80}"/>
    <cellStyle name="Normal 8 3 3 2 2 3" xfId="5279" xr:uid="{00000000-0005-0000-0000-0000861D0000}"/>
    <cellStyle name="Normal 8 3 3 2 2 3 2" xfId="13729" xr:uid="{2BC1D851-A916-4988-B287-34BA0741B1D5}"/>
    <cellStyle name="Normal 8 3 3 2 2 4" xfId="9511" xr:uid="{C364FB31-5967-43EA-8AB6-62114CD32DD6}"/>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87C42BAB-A3DD-41B8-BD0B-E91FFD7324DD}"/>
    <cellStyle name="Normal 8 3 3 2 3 2 3" xfId="12069" xr:uid="{0C9F93A0-87BC-4672-9758-07966508DECA}"/>
    <cellStyle name="Normal 8 3 3 2 3 3" xfId="5692" xr:uid="{00000000-0005-0000-0000-00008A1D0000}"/>
    <cellStyle name="Normal 8 3 3 2 3 3 2" xfId="14142" xr:uid="{D97CC376-68CF-4BDA-8D2B-8DBECF0B74FF}"/>
    <cellStyle name="Normal 8 3 3 2 3 4" xfId="9924" xr:uid="{CD39A573-4C0F-4794-8262-8527D7E21D98}"/>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638F4CF3-7175-439E-A2CC-9A869605A01B}"/>
    <cellStyle name="Normal 8 3 3 2 4 2 3" xfId="12482" xr:uid="{3A83B2B0-FA55-4DDF-99F8-C4C686CA686B}"/>
    <cellStyle name="Normal 8 3 3 2 4 3" xfId="6105" xr:uid="{00000000-0005-0000-0000-00008E1D0000}"/>
    <cellStyle name="Normal 8 3 3 2 4 3 2" xfId="14555" xr:uid="{D7C59709-32E9-4EFF-B5D1-6748888E0283}"/>
    <cellStyle name="Normal 8 3 3 2 4 4" xfId="10337" xr:uid="{37CA3002-4C95-4B64-A9E5-DEDB1A24A894}"/>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8D0A2122-6C0F-400A-A60E-B500B8E4AF20}"/>
    <cellStyle name="Normal 8 3 3 2 5 2 3" xfId="12895" xr:uid="{8237C66C-AADB-43FE-BE82-DE9601A66118}"/>
    <cellStyle name="Normal 8 3 3 2 5 3" xfId="6518" xr:uid="{00000000-0005-0000-0000-0000921D0000}"/>
    <cellStyle name="Normal 8 3 3 2 5 3 2" xfId="14968" xr:uid="{68A385D7-05B9-4E02-A62B-E706F2A4C8C8}"/>
    <cellStyle name="Normal 8 3 3 2 5 4" xfId="10750" xr:uid="{774BE2DB-A987-480E-BE78-3CB592E9369C}"/>
    <cellStyle name="Normal 8 3 3 2 6" xfId="2648" xr:uid="{00000000-0005-0000-0000-0000931D0000}"/>
    <cellStyle name="Normal 8 3 3 2 6 2" xfId="6931" xr:uid="{00000000-0005-0000-0000-0000941D0000}"/>
    <cellStyle name="Normal 8 3 3 2 6 2 2" xfId="15381" xr:uid="{50A24FEA-D657-4B22-8897-EA7F0E514C33}"/>
    <cellStyle name="Normal 8 3 3 2 6 3" xfId="11163" xr:uid="{43B6CC0F-61A5-4F0A-8B3F-D55B2D605839}"/>
    <cellStyle name="Normal 8 3 3 2 7" xfId="4866" xr:uid="{00000000-0005-0000-0000-0000951D0000}"/>
    <cellStyle name="Normal 8 3 3 2 7 2" xfId="13316" xr:uid="{3BBBB632-7A8B-4A8C-AFBB-B21D265379C4}"/>
    <cellStyle name="Normal 8 3 3 2 8" xfId="9098" xr:uid="{A650A061-BE55-4354-94E8-C75A972248FC}"/>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32A5D421-174B-49EC-887C-D8B6454FEB52}"/>
    <cellStyle name="Normal 8 3 3 3 2 3" xfId="11655" xr:uid="{C341982E-D5C8-4AAC-9440-22DBC33D827E}"/>
    <cellStyle name="Normal 8 3 3 3 3" xfId="5278" xr:uid="{00000000-0005-0000-0000-0000991D0000}"/>
    <cellStyle name="Normal 8 3 3 3 3 2" xfId="13728" xr:uid="{6D732BAC-3261-4247-A494-B8B474FC8C68}"/>
    <cellStyle name="Normal 8 3 3 3 4" xfId="9510" xr:uid="{FDC2DEC9-FEFC-46C9-A612-2E7EF3C09CBA}"/>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078991B6-E5F5-45C7-A752-99EAF95894D3}"/>
    <cellStyle name="Normal 8 3 3 4 2 3" xfId="12068" xr:uid="{6C07174E-1BA5-4ED3-B85E-E3087C49A19D}"/>
    <cellStyle name="Normal 8 3 3 4 3" xfId="5691" xr:uid="{00000000-0005-0000-0000-00009D1D0000}"/>
    <cellStyle name="Normal 8 3 3 4 3 2" xfId="14141" xr:uid="{31AE8B82-BEFD-489B-8926-7028606996F5}"/>
    <cellStyle name="Normal 8 3 3 4 4" xfId="9923" xr:uid="{40136619-A27C-4849-8594-D055931467A8}"/>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7ECF59B2-C6DE-472F-B93E-D06175F720F8}"/>
    <cellStyle name="Normal 8 3 3 5 2 3" xfId="12481" xr:uid="{91F23471-DEE5-4EA2-9EAF-3C0B36A1F2A9}"/>
    <cellStyle name="Normal 8 3 3 5 3" xfId="6104" xr:uid="{00000000-0005-0000-0000-0000A11D0000}"/>
    <cellStyle name="Normal 8 3 3 5 3 2" xfId="14554" xr:uid="{2C64CEFF-C8FB-46BA-A32D-2980DB19B220}"/>
    <cellStyle name="Normal 8 3 3 5 4" xfId="10336" xr:uid="{D3FFFF5F-640A-4B07-80C3-E5467F5121B9}"/>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E1EEAC0C-E93D-4DF9-BF72-34C42A690615}"/>
    <cellStyle name="Normal 8 3 3 6 2 3" xfId="12894" xr:uid="{0C6D6209-0135-4BDF-8D49-9EE29B2E86F4}"/>
    <cellStyle name="Normal 8 3 3 6 3" xfId="6517" xr:uid="{00000000-0005-0000-0000-0000A51D0000}"/>
    <cellStyle name="Normal 8 3 3 6 3 2" xfId="14967" xr:uid="{CA960A6C-320B-4B8D-9274-5FC822DA0F06}"/>
    <cellStyle name="Normal 8 3 3 6 4" xfId="10749" xr:uid="{530D3809-8F88-4395-84CE-08F0D85CAA05}"/>
    <cellStyle name="Normal 8 3 3 7" xfId="2647" xr:uid="{00000000-0005-0000-0000-0000A61D0000}"/>
    <cellStyle name="Normal 8 3 3 7 2" xfId="6930" xr:uid="{00000000-0005-0000-0000-0000A71D0000}"/>
    <cellStyle name="Normal 8 3 3 7 2 2" xfId="15380" xr:uid="{CBB6DD87-1335-48D0-A2CA-A88770C548A7}"/>
    <cellStyle name="Normal 8 3 3 7 3" xfId="11162" xr:uid="{F4A89BDD-E5B6-4385-A9DF-03A7FCE46B06}"/>
    <cellStyle name="Normal 8 3 3 8" xfId="4865" xr:uid="{00000000-0005-0000-0000-0000A81D0000}"/>
    <cellStyle name="Normal 8 3 3 8 2" xfId="13315" xr:uid="{AA1ABFEF-D5B9-4A77-9AAE-C09CD7986C39}"/>
    <cellStyle name="Normal 8 3 3 9" xfId="9097" xr:uid="{8CD162BC-1758-45F5-B39B-6928ED3A393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85A12EBA-BBC6-4765-BA29-AC4DB321D75F}"/>
    <cellStyle name="Normal 8 3 4 2 2 3" xfId="11657" xr:uid="{C5BD4E82-4A47-4292-823C-52096CF6E7A7}"/>
    <cellStyle name="Normal 8 3 4 2 3" xfId="5280" xr:uid="{00000000-0005-0000-0000-0000AD1D0000}"/>
    <cellStyle name="Normal 8 3 4 2 3 2" xfId="13730" xr:uid="{0933C0EA-F299-4DF2-8F9D-9FEC6AD9C4E5}"/>
    <cellStyle name="Normal 8 3 4 2 4" xfId="9512" xr:uid="{5702F077-3722-4CD3-B86A-097D909EEE93}"/>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91733C7C-C471-4A8F-A4F3-3A7650CE1876}"/>
    <cellStyle name="Normal 8 3 4 3 2 3" xfId="12070" xr:uid="{F0CCA8E4-B4B4-4315-B115-D27E5D242730}"/>
    <cellStyle name="Normal 8 3 4 3 3" xfId="5693" xr:uid="{00000000-0005-0000-0000-0000B11D0000}"/>
    <cellStyle name="Normal 8 3 4 3 3 2" xfId="14143" xr:uid="{8A0FDD0F-2A07-423F-AEFE-01ECBC93EDE9}"/>
    <cellStyle name="Normal 8 3 4 3 4" xfId="9925" xr:uid="{6815A352-EE21-42EE-9F3C-F7129C6F2D1F}"/>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245D8BD4-EC31-439F-8672-D054591973F5}"/>
    <cellStyle name="Normal 8 3 4 4 2 3" xfId="12483" xr:uid="{4485146F-1223-461B-B9D3-A7EDD952C5D9}"/>
    <cellStyle name="Normal 8 3 4 4 3" xfId="6106" xr:uid="{00000000-0005-0000-0000-0000B51D0000}"/>
    <cellStyle name="Normal 8 3 4 4 3 2" xfId="14556" xr:uid="{8BAF6129-5EA7-44CA-8BA1-CF73C02465F0}"/>
    <cellStyle name="Normal 8 3 4 4 4" xfId="10338" xr:uid="{BA718C87-E4FC-4C0C-84D7-50757C20A61B}"/>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144B2C27-A3DE-4873-B00D-88063DFC068C}"/>
    <cellStyle name="Normal 8 3 4 5 2 3" xfId="12896" xr:uid="{8C2514E7-E1C8-440A-BB2F-09C98B26C794}"/>
    <cellStyle name="Normal 8 3 4 5 3" xfId="6519" xr:uid="{00000000-0005-0000-0000-0000B91D0000}"/>
    <cellStyle name="Normal 8 3 4 5 3 2" xfId="14969" xr:uid="{146DD534-DA42-4C39-874B-13662D278AB1}"/>
    <cellStyle name="Normal 8 3 4 5 4" xfId="10751" xr:uid="{AD5EF059-BCD4-45E5-9946-BF45D341D4DF}"/>
    <cellStyle name="Normal 8 3 4 6" xfId="2649" xr:uid="{00000000-0005-0000-0000-0000BA1D0000}"/>
    <cellStyle name="Normal 8 3 4 6 2" xfId="6932" xr:uid="{00000000-0005-0000-0000-0000BB1D0000}"/>
    <cellStyle name="Normal 8 3 4 6 2 2" xfId="15382" xr:uid="{8C2B0EA9-E7F6-4371-8C1A-F7838C8CEB84}"/>
    <cellStyle name="Normal 8 3 4 6 3" xfId="11164" xr:uid="{BB3030FB-C70F-4AAC-86FD-D5AAC0116E4D}"/>
    <cellStyle name="Normal 8 3 4 7" xfId="4867" xr:uid="{00000000-0005-0000-0000-0000BC1D0000}"/>
    <cellStyle name="Normal 8 3 4 7 2" xfId="13317" xr:uid="{5DE52E1F-66E9-46B0-BFDC-A8E040D811BC}"/>
    <cellStyle name="Normal 8 3 4 8" xfId="9099" xr:uid="{D6A272FA-002D-4D30-8E47-787814F1308E}"/>
    <cellStyle name="Normal 8 3 5" xfId="962" xr:uid="{00000000-0005-0000-0000-0000BD1D0000}"/>
    <cellStyle name="Normal 8 3 5 2" xfId="3196" xr:uid="{00000000-0005-0000-0000-0000BE1D0000}"/>
    <cellStyle name="Normal 8 3 5 2 2" xfId="7418" xr:uid="{00000000-0005-0000-0000-0000BF1D0000}"/>
    <cellStyle name="Normal 8 3 5 2 2 2" xfId="15868" xr:uid="{C5CFAF5A-2E4C-4890-81ED-EF2D32876551}"/>
    <cellStyle name="Normal 8 3 5 2 3" xfId="11650" xr:uid="{F86876BA-46CC-4B90-A345-32B5D73BBC34}"/>
    <cellStyle name="Normal 8 3 5 3" xfId="5273" xr:uid="{00000000-0005-0000-0000-0000C01D0000}"/>
    <cellStyle name="Normal 8 3 5 3 2" xfId="13723" xr:uid="{96C1EEE4-02E7-4234-A362-6EACC10C5003}"/>
    <cellStyle name="Normal 8 3 5 4" xfId="9505" xr:uid="{0210C695-02C3-412E-8758-37B3115C61C0}"/>
    <cellStyle name="Normal 8 3 6" xfId="1379" xr:uid="{00000000-0005-0000-0000-0000C11D0000}"/>
    <cellStyle name="Normal 8 3 6 2" xfId="3609" xr:uid="{00000000-0005-0000-0000-0000C21D0000}"/>
    <cellStyle name="Normal 8 3 6 2 2" xfId="7831" xr:uid="{00000000-0005-0000-0000-0000C31D0000}"/>
    <cellStyle name="Normal 8 3 6 2 2 2" xfId="16281" xr:uid="{C5A6F257-9BAA-434A-8140-6D36A0A1974A}"/>
    <cellStyle name="Normal 8 3 6 2 3" xfId="12063" xr:uid="{8233C75D-4040-47E9-877C-3CD235B8B32A}"/>
    <cellStyle name="Normal 8 3 6 3" xfId="5686" xr:uid="{00000000-0005-0000-0000-0000C41D0000}"/>
    <cellStyle name="Normal 8 3 6 3 2" xfId="14136" xr:uid="{A2F9D334-DFAB-45FB-BE62-D21EE57041D7}"/>
    <cellStyle name="Normal 8 3 6 4" xfId="9918" xr:uid="{F110A11F-8DB3-4B91-AF59-9ED122CA9F40}"/>
    <cellStyle name="Normal 8 3 7" xfId="1792" xr:uid="{00000000-0005-0000-0000-0000C51D0000}"/>
    <cellStyle name="Normal 8 3 7 2" xfId="4022" xr:uid="{00000000-0005-0000-0000-0000C61D0000}"/>
    <cellStyle name="Normal 8 3 7 2 2" xfId="8244" xr:uid="{00000000-0005-0000-0000-0000C71D0000}"/>
    <cellStyle name="Normal 8 3 7 2 2 2" xfId="16694" xr:uid="{FE5F2C11-B8BD-446D-A1D5-836909E1B487}"/>
    <cellStyle name="Normal 8 3 7 2 3" xfId="12476" xr:uid="{12D82ACB-BC27-455E-9E55-2317F0AAED05}"/>
    <cellStyle name="Normal 8 3 7 3" xfId="6099" xr:uid="{00000000-0005-0000-0000-0000C81D0000}"/>
    <cellStyle name="Normal 8 3 7 3 2" xfId="14549" xr:uid="{04EF7F36-73BB-4206-B4CC-6D4711F8E451}"/>
    <cellStyle name="Normal 8 3 7 4" xfId="10331" xr:uid="{AFD99527-7E5F-4D99-91B8-8115A429247D}"/>
    <cellStyle name="Normal 8 3 8" xfId="2206" xr:uid="{00000000-0005-0000-0000-0000C91D0000}"/>
    <cellStyle name="Normal 8 3 8 2" xfId="4435" xr:uid="{00000000-0005-0000-0000-0000CA1D0000}"/>
    <cellStyle name="Normal 8 3 8 2 2" xfId="8657" xr:uid="{00000000-0005-0000-0000-0000CB1D0000}"/>
    <cellStyle name="Normal 8 3 8 2 2 2" xfId="17107" xr:uid="{582413A7-9501-4C63-B71E-09F1F323361A}"/>
    <cellStyle name="Normal 8 3 8 2 3" xfId="12889" xr:uid="{7045C346-C1A4-48FA-B73E-5B9061AAABD2}"/>
    <cellStyle name="Normal 8 3 8 3" xfId="6512" xr:uid="{00000000-0005-0000-0000-0000CC1D0000}"/>
    <cellStyle name="Normal 8 3 8 3 2" xfId="14962" xr:uid="{A9A6713C-CA9F-4011-96C4-231AE52CAEE9}"/>
    <cellStyle name="Normal 8 3 8 4" xfId="10744" xr:uid="{BD444C41-CC7E-41FC-A811-8016D80AFFE4}"/>
    <cellStyle name="Normal 8 3 9" xfId="2642" xr:uid="{00000000-0005-0000-0000-0000CD1D0000}"/>
    <cellStyle name="Normal 8 3 9 2" xfId="6925" xr:uid="{00000000-0005-0000-0000-0000CE1D0000}"/>
    <cellStyle name="Normal 8 3 9 2 2" xfId="15375" xr:uid="{FCC23D47-022E-454C-9F0C-5048A99307E3}"/>
    <cellStyle name="Normal 8 3 9 3" xfId="11157" xr:uid="{B52C0E96-E104-4F23-931F-C363509DB483}"/>
    <cellStyle name="Normal 8 4" xfId="503" xr:uid="{00000000-0005-0000-0000-0000CF1D0000}"/>
    <cellStyle name="Normal 8 4 10" xfId="9100" xr:uid="{CAAD14E6-B22F-47E8-BC76-A80FB78D9A4E}"/>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F6D1C322-E462-4CDD-A5CE-2B8F5D61D071}"/>
    <cellStyle name="Normal 8 4 2 2 2 2 3" xfId="11660" xr:uid="{6457FCB2-2621-423F-8D8F-1AD85BA60DB8}"/>
    <cellStyle name="Normal 8 4 2 2 2 3" xfId="5283" xr:uid="{00000000-0005-0000-0000-0000D51D0000}"/>
    <cellStyle name="Normal 8 4 2 2 2 3 2" xfId="13733" xr:uid="{FF9A507F-AAE6-4F22-A5DD-496EE5159FFE}"/>
    <cellStyle name="Normal 8 4 2 2 2 4" xfId="9515" xr:uid="{C4A24219-AF64-4DCF-97BC-CE9652DCCECE}"/>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6B083AFC-26BD-4FC1-BE84-D371AFA9D8F9}"/>
    <cellStyle name="Normal 8 4 2 2 3 2 3" xfId="12073" xr:uid="{1B29A9EC-197D-41B5-A519-8FB32DA68839}"/>
    <cellStyle name="Normal 8 4 2 2 3 3" xfId="5696" xr:uid="{00000000-0005-0000-0000-0000D91D0000}"/>
    <cellStyle name="Normal 8 4 2 2 3 3 2" xfId="14146" xr:uid="{6E81C069-3780-4C4C-8E90-8E050EECB858}"/>
    <cellStyle name="Normal 8 4 2 2 3 4" xfId="9928" xr:uid="{9359E2AC-6918-431C-BEFD-87386E1F5922}"/>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E747AD9C-E5CC-4B8F-B319-080E813BFA42}"/>
    <cellStyle name="Normal 8 4 2 2 4 2 3" xfId="12486" xr:uid="{9A2A06B3-B87C-44BC-AA00-EC3F46233627}"/>
    <cellStyle name="Normal 8 4 2 2 4 3" xfId="6109" xr:uid="{00000000-0005-0000-0000-0000DD1D0000}"/>
    <cellStyle name="Normal 8 4 2 2 4 3 2" xfId="14559" xr:uid="{86D3C56C-98F4-40B8-8281-ADF43C7EAF84}"/>
    <cellStyle name="Normal 8 4 2 2 4 4" xfId="10341" xr:uid="{F847CB43-B8FB-48B7-B0B9-29F46EBF7C22}"/>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B5556BE1-C689-4B71-B50A-4EE3FC56E82F}"/>
    <cellStyle name="Normal 8 4 2 2 5 2 3" xfId="12899" xr:uid="{F732B19C-133D-4AA4-B494-BD5C5E742B6E}"/>
    <cellStyle name="Normal 8 4 2 2 5 3" xfId="6522" xr:uid="{00000000-0005-0000-0000-0000E11D0000}"/>
    <cellStyle name="Normal 8 4 2 2 5 3 2" xfId="14972" xr:uid="{D902FF43-9FBE-4FD2-BA7F-4475F56707AC}"/>
    <cellStyle name="Normal 8 4 2 2 5 4" xfId="10754" xr:uid="{FB3C422B-772A-42B4-8551-135DECA44F3A}"/>
    <cellStyle name="Normal 8 4 2 2 6" xfId="2652" xr:uid="{00000000-0005-0000-0000-0000E21D0000}"/>
    <cellStyle name="Normal 8 4 2 2 6 2" xfId="6935" xr:uid="{00000000-0005-0000-0000-0000E31D0000}"/>
    <cellStyle name="Normal 8 4 2 2 6 2 2" xfId="15385" xr:uid="{D5355115-4D0B-430E-80CA-8BCD917B5970}"/>
    <cellStyle name="Normal 8 4 2 2 6 3" xfId="11167" xr:uid="{11B38482-3473-4023-8E3D-730438A2F359}"/>
    <cellStyle name="Normal 8 4 2 2 7" xfId="4870" xr:uid="{00000000-0005-0000-0000-0000E41D0000}"/>
    <cellStyle name="Normal 8 4 2 2 7 2" xfId="13320" xr:uid="{34F92FC4-333B-4BAB-9B3C-180FB9534497}"/>
    <cellStyle name="Normal 8 4 2 2 8" xfId="9102" xr:uid="{2270DA91-67AC-43BE-B0D1-E16E4FD2D0F4}"/>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CE0534A4-1F0B-46D5-BE04-10FF241814E4}"/>
    <cellStyle name="Normal 8 4 2 3 2 3" xfId="11659" xr:uid="{6DE68F2F-C3D1-4189-902E-24661BD62268}"/>
    <cellStyle name="Normal 8 4 2 3 3" xfId="5282" xr:uid="{00000000-0005-0000-0000-0000E81D0000}"/>
    <cellStyle name="Normal 8 4 2 3 3 2" xfId="13732" xr:uid="{3BD93CBD-60B9-4C5F-B0BA-8A0E853BADB6}"/>
    <cellStyle name="Normal 8 4 2 3 4" xfId="9514" xr:uid="{CDEB17F4-23AE-4C0A-9016-6D8FD8A18057}"/>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538AED0E-1A36-4DBA-AAB1-A3712223AD5B}"/>
    <cellStyle name="Normal 8 4 2 4 2 3" xfId="12072" xr:uid="{F23CAE87-2872-4A2D-AE13-2854939C7524}"/>
    <cellStyle name="Normal 8 4 2 4 3" xfId="5695" xr:uid="{00000000-0005-0000-0000-0000EC1D0000}"/>
    <cellStyle name="Normal 8 4 2 4 3 2" xfId="14145" xr:uid="{1F219207-8F21-4792-AFAE-EE9E5BC46586}"/>
    <cellStyle name="Normal 8 4 2 4 4" xfId="9927" xr:uid="{E9F17911-D6C4-4839-A15B-81DFF5CC96BA}"/>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8A552C43-2C6E-43F4-B5D4-DB89C3A4CB7F}"/>
    <cellStyle name="Normal 8 4 2 5 2 3" xfId="12485" xr:uid="{2026308B-4EDF-40A5-95D8-88E4D8661A65}"/>
    <cellStyle name="Normal 8 4 2 5 3" xfId="6108" xr:uid="{00000000-0005-0000-0000-0000F01D0000}"/>
    <cellStyle name="Normal 8 4 2 5 3 2" xfId="14558" xr:uid="{0A2116F4-05D4-4C89-8665-6F5D349AB7FF}"/>
    <cellStyle name="Normal 8 4 2 5 4" xfId="10340" xr:uid="{43AF716B-B6E0-4666-9836-72E2D012563A}"/>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058562AF-20CD-45B0-A035-EA51F615CCA7}"/>
    <cellStyle name="Normal 8 4 2 6 2 3" xfId="12898" xr:uid="{BFF7F3FF-9C94-4B51-AF5A-865B581ECA1B}"/>
    <cellStyle name="Normal 8 4 2 6 3" xfId="6521" xr:uid="{00000000-0005-0000-0000-0000F41D0000}"/>
    <cellStyle name="Normal 8 4 2 6 3 2" xfId="14971" xr:uid="{25EC2E7D-C34D-48C2-99DA-A0F050AB4A6D}"/>
    <cellStyle name="Normal 8 4 2 6 4" xfId="10753" xr:uid="{3CBE06E9-C3C0-46F4-8B29-30E79416F1C6}"/>
    <cellStyle name="Normal 8 4 2 7" xfId="2651" xr:uid="{00000000-0005-0000-0000-0000F51D0000}"/>
    <cellStyle name="Normal 8 4 2 7 2" xfId="6934" xr:uid="{00000000-0005-0000-0000-0000F61D0000}"/>
    <cellStyle name="Normal 8 4 2 7 2 2" xfId="15384" xr:uid="{7C5BC787-1D32-4C33-B9AE-6D63030818F3}"/>
    <cellStyle name="Normal 8 4 2 7 3" xfId="11166" xr:uid="{4C252DAC-61B8-4D4C-AD87-300A3B49E89F}"/>
    <cellStyle name="Normal 8 4 2 8" xfId="4869" xr:uid="{00000000-0005-0000-0000-0000F71D0000}"/>
    <cellStyle name="Normal 8 4 2 8 2" xfId="13319" xr:uid="{3347EE1B-B347-479D-A176-264AC9D6F0F7}"/>
    <cellStyle name="Normal 8 4 2 9" xfId="9101" xr:uid="{253A7195-F610-4F5A-B646-E25B9E9D1A05}"/>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F97C21C4-5DD0-4A9D-96B8-C52AC2EA8F9E}"/>
    <cellStyle name="Normal 8 4 3 2 2 3" xfId="11661" xr:uid="{84ED007B-ABD7-4547-92FF-CEE420D9C635}"/>
    <cellStyle name="Normal 8 4 3 2 3" xfId="5284" xr:uid="{00000000-0005-0000-0000-0000FC1D0000}"/>
    <cellStyle name="Normal 8 4 3 2 3 2" xfId="13734" xr:uid="{6566D60C-3C3F-4A4A-A856-0355DB3A2488}"/>
    <cellStyle name="Normal 8 4 3 2 4" xfId="9516" xr:uid="{32692092-48BA-41FF-993C-7B59D84CC78D}"/>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22BA71AE-B17D-4F0B-ADC6-9546381156C8}"/>
    <cellStyle name="Normal 8 4 3 3 2 3" xfId="12074" xr:uid="{8E4C6D69-C916-44A1-B4FC-961F36249175}"/>
    <cellStyle name="Normal 8 4 3 3 3" xfId="5697" xr:uid="{00000000-0005-0000-0000-0000001E0000}"/>
    <cellStyle name="Normal 8 4 3 3 3 2" xfId="14147" xr:uid="{9272C576-FDEF-456C-96C0-E8165C29F2B9}"/>
    <cellStyle name="Normal 8 4 3 3 4" xfId="9929" xr:uid="{0647BFB7-E791-4168-A35B-4A87A6B0C3E7}"/>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D7C54C36-4FEE-4222-AE02-B2A891C5F438}"/>
    <cellStyle name="Normal 8 4 3 4 2 3" xfId="12487" xr:uid="{F6D799E7-17DC-4C4A-8C81-42C25129C885}"/>
    <cellStyle name="Normal 8 4 3 4 3" xfId="6110" xr:uid="{00000000-0005-0000-0000-0000041E0000}"/>
    <cellStyle name="Normal 8 4 3 4 3 2" xfId="14560" xr:uid="{079B9913-BCC7-4F41-8F49-A495E87AB6B0}"/>
    <cellStyle name="Normal 8 4 3 4 4" xfId="10342" xr:uid="{2C034217-780A-4651-B098-2C4A1FCA63B8}"/>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B731ABAB-4162-417E-BD21-B17A70695F20}"/>
    <cellStyle name="Normal 8 4 3 5 2 3" xfId="12900" xr:uid="{B9FE8021-E4C4-482B-8CAE-EAEDD90C3CDC}"/>
    <cellStyle name="Normal 8 4 3 5 3" xfId="6523" xr:uid="{00000000-0005-0000-0000-0000081E0000}"/>
    <cellStyle name="Normal 8 4 3 5 3 2" xfId="14973" xr:uid="{75B74775-823E-4A91-9B27-209FD62031DE}"/>
    <cellStyle name="Normal 8 4 3 5 4" xfId="10755" xr:uid="{75FAE546-C269-4D3B-A184-3CE86D97B8D3}"/>
    <cellStyle name="Normal 8 4 3 6" xfId="2653" xr:uid="{00000000-0005-0000-0000-0000091E0000}"/>
    <cellStyle name="Normal 8 4 3 6 2" xfId="6936" xr:uid="{00000000-0005-0000-0000-00000A1E0000}"/>
    <cellStyle name="Normal 8 4 3 6 2 2" xfId="15386" xr:uid="{F07E8E41-951F-419C-BD31-19C31F534E8B}"/>
    <cellStyle name="Normal 8 4 3 6 3" xfId="11168" xr:uid="{C1936FDF-A71E-4D69-823E-BF1AD3293243}"/>
    <cellStyle name="Normal 8 4 3 7" xfId="4871" xr:uid="{00000000-0005-0000-0000-00000B1E0000}"/>
    <cellStyle name="Normal 8 4 3 7 2" xfId="13321" xr:uid="{7738F28F-9AAA-41FA-A896-83C9FC5B6182}"/>
    <cellStyle name="Normal 8 4 3 8" xfId="9103" xr:uid="{96E18C7D-325E-4CA7-9832-9AC4130F8083}"/>
    <cellStyle name="Normal 8 4 4" xfId="970" xr:uid="{00000000-0005-0000-0000-00000C1E0000}"/>
    <cellStyle name="Normal 8 4 4 2" xfId="3204" xr:uid="{00000000-0005-0000-0000-00000D1E0000}"/>
    <cellStyle name="Normal 8 4 4 2 2" xfId="7426" xr:uid="{00000000-0005-0000-0000-00000E1E0000}"/>
    <cellStyle name="Normal 8 4 4 2 2 2" xfId="15876" xr:uid="{17619DD1-CB6A-4AC8-AC4D-AFF10372F77E}"/>
    <cellStyle name="Normal 8 4 4 2 3" xfId="11658" xr:uid="{A3F4A583-1038-44B9-9F28-E7EC36D37DB9}"/>
    <cellStyle name="Normal 8 4 4 3" xfId="5281" xr:uid="{00000000-0005-0000-0000-00000F1E0000}"/>
    <cellStyle name="Normal 8 4 4 3 2" xfId="13731" xr:uid="{A468565F-D57E-49F8-9029-A6597942ACEB}"/>
    <cellStyle name="Normal 8 4 4 4" xfId="9513" xr:uid="{688D28AF-5BDC-4253-9F8C-63C14BB3B903}"/>
    <cellStyle name="Normal 8 4 5" xfId="1387" xr:uid="{00000000-0005-0000-0000-0000101E0000}"/>
    <cellStyle name="Normal 8 4 5 2" xfId="3617" xr:uid="{00000000-0005-0000-0000-0000111E0000}"/>
    <cellStyle name="Normal 8 4 5 2 2" xfId="7839" xr:uid="{00000000-0005-0000-0000-0000121E0000}"/>
    <cellStyle name="Normal 8 4 5 2 2 2" xfId="16289" xr:uid="{89F4C584-F35B-47CF-948C-38125CCB0B11}"/>
    <cellStyle name="Normal 8 4 5 2 3" xfId="12071" xr:uid="{DF875C10-77CB-40A4-96C9-33C385CB506B}"/>
    <cellStyle name="Normal 8 4 5 3" xfId="5694" xr:uid="{00000000-0005-0000-0000-0000131E0000}"/>
    <cellStyle name="Normal 8 4 5 3 2" xfId="14144" xr:uid="{AECC5DE7-198C-41C0-B33A-96B07323E0DD}"/>
    <cellStyle name="Normal 8 4 5 4" xfId="9926" xr:uid="{E20C5790-2EF3-4923-A125-3F03FD1B8F63}"/>
    <cellStyle name="Normal 8 4 6" xfId="1800" xr:uid="{00000000-0005-0000-0000-0000141E0000}"/>
    <cellStyle name="Normal 8 4 6 2" xfId="4030" xr:uid="{00000000-0005-0000-0000-0000151E0000}"/>
    <cellStyle name="Normal 8 4 6 2 2" xfId="8252" xr:uid="{00000000-0005-0000-0000-0000161E0000}"/>
    <cellStyle name="Normal 8 4 6 2 2 2" xfId="16702" xr:uid="{140D7AD7-DDA9-47EE-9BAF-A68DCE8BC8CF}"/>
    <cellStyle name="Normal 8 4 6 2 3" xfId="12484" xr:uid="{E5A88FC9-004C-4E7B-BE10-79E26D5B7C24}"/>
    <cellStyle name="Normal 8 4 6 3" xfId="6107" xr:uid="{00000000-0005-0000-0000-0000171E0000}"/>
    <cellStyle name="Normal 8 4 6 3 2" xfId="14557" xr:uid="{82878AAD-1452-45B7-917E-38E7DB22ACFF}"/>
    <cellStyle name="Normal 8 4 6 4" xfId="10339" xr:uid="{00E091D3-2132-459E-A667-043F89412E41}"/>
    <cellStyle name="Normal 8 4 7" xfId="2214" xr:uid="{00000000-0005-0000-0000-0000181E0000}"/>
    <cellStyle name="Normal 8 4 7 2" xfId="4443" xr:uid="{00000000-0005-0000-0000-0000191E0000}"/>
    <cellStyle name="Normal 8 4 7 2 2" xfId="8665" xr:uid="{00000000-0005-0000-0000-00001A1E0000}"/>
    <cellStyle name="Normal 8 4 7 2 2 2" xfId="17115" xr:uid="{197652CE-C8F6-4846-B427-729719F4A1EE}"/>
    <cellStyle name="Normal 8 4 7 2 3" xfId="12897" xr:uid="{72794216-4D4B-4A73-A0DD-294E5E186C6A}"/>
    <cellStyle name="Normal 8 4 7 3" xfId="6520" xr:uid="{00000000-0005-0000-0000-00001B1E0000}"/>
    <cellStyle name="Normal 8 4 7 3 2" xfId="14970" xr:uid="{F7222E7C-F6C3-42F8-A28A-19F44B913BDC}"/>
    <cellStyle name="Normal 8 4 7 4" xfId="10752" xr:uid="{CD7E3939-B5B2-4AA6-BA1B-C3DAEF8783D8}"/>
    <cellStyle name="Normal 8 4 8" xfId="2650" xr:uid="{00000000-0005-0000-0000-00001C1E0000}"/>
    <cellStyle name="Normal 8 4 8 2" xfId="6933" xr:uid="{00000000-0005-0000-0000-00001D1E0000}"/>
    <cellStyle name="Normal 8 4 8 2 2" xfId="15383" xr:uid="{6A7D6EE9-3AC8-413B-9C48-0F02AEBC0EFC}"/>
    <cellStyle name="Normal 8 4 8 3" xfId="11165" xr:uid="{EBD5D88B-2929-41A1-B1B4-106B4AAA5D02}"/>
    <cellStyle name="Normal 8 4 9" xfId="4868" xr:uid="{00000000-0005-0000-0000-00001E1E0000}"/>
    <cellStyle name="Normal 8 4 9 2" xfId="13318" xr:uid="{49AC9B54-4283-41B7-B04E-FE95A759C4FA}"/>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F620804E-ECD4-4DAB-945F-3206BEA75190}"/>
    <cellStyle name="Normal 8 5 2 2 2 3" xfId="11663" xr:uid="{2CFC8E8C-5D82-4F37-ADAF-C3B5D1D624D3}"/>
    <cellStyle name="Normal 8 5 2 2 3" xfId="5286" xr:uid="{00000000-0005-0000-0000-0000241E0000}"/>
    <cellStyle name="Normal 8 5 2 2 3 2" xfId="13736" xr:uid="{265B0CE1-F7D6-4C77-984D-9B66ECD0EEA9}"/>
    <cellStyle name="Normal 8 5 2 2 4" xfId="9518" xr:uid="{AD3C9800-C751-4F56-8789-1F2CA3C0B272}"/>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886F0292-34B3-4F3A-9438-4121C10D0950}"/>
    <cellStyle name="Normal 8 5 2 3 2 3" xfId="12076" xr:uid="{192C2BE9-3F57-49E8-ADC1-176E8637801E}"/>
    <cellStyle name="Normal 8 5 2 3 3" xfId="5699" xr:uid="{00000000-0005-0000-0000-0000281E0000}"/>
    <cellStyle name="Normal 8 5 2 3 3 2" xfId="14149" xr:uid="{34A44539-DDD2-41BF-BE97-81FD2DE7B6AD}"/>
    <cellStyle name="Normal 8 5 2 3 4" xfId="9931" xr:uid="{A60BFFAE-027C-4958-A7CB-BB3C6A26BE63}"/>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8ED86B80-5569-496B-AF75-BA5FEF9C78FC}"/>
    <cellStyle name="Normal 8 5 2 4 2 3" xfId="12489" xr:uid="{27BD0D56-A7A0-4720-8DA1-2FF3DCF658EA}"/>
    <cellStyle name="Normal 8 5 2 4 3" xfId="6112" xr:uid="{00000000-0005-0000-0000-00002C1E0000}"/>
    <cellStyle name="Normal 8 5 2 4 3 2" xfId="14562" xr:uid="{8CA60A27-0E77-4FED-8C67-76ACB78EB0FC}"/>
    <cellStyle name="Normal 8 5 2 4 4" xfId="10344" xr:uid="{A463BB39-B19B-4686-B1F7-5909CB709C94}"/>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D2AC84F4-9358-4289-BD0D-0AB830BA2980}"/>
    <cellStyle name="Normal 8 5 2 5 2 3" xfId="12902" xr:uid="{D8C78B7E-77C7-4B49-939F-8F6183475871}"/>
    <cellStyle name="Normal 8 5 2 5 3" xfId="6525" xr:uid="{00000000-0005-0000-0000-0000301E0000}"/>
    <cellStyle name="Normal 8 5 2 5 3 2" xfId="14975" xr:uid="{D8FF6AA4-0F69-4EA8-A61D-36D91A5BCF73}"/>
    <cellStyle name="Normal 8 5 2 5 4" xfId="10757" xr:uid="{4921D2D3-14DF-4D6E-AEAE-D6E01F3A1616}"/>
    <cellStyle name="Normal 8 5 2 6" xfId="2655" xr:uid="{00000000-0005-0000-0000-0000311E0000}"/>
    <cellStyle name="Normal 8 5 2 6 2" xfId="6938" xr:uid="{00000000-0005-0000-0000-0000321E0000}"/>
    <cellStyle name="Normal 8 5 2 6 2 2" xfId="15388" xr:uid="{34092EBE-7BA7-4821-B820-B44530D99410}"/>
    <cellStyle name="Normal 8 5 2 6 3" xfId="11170" xr:uid="{CD862B2A-31BD-4BAF-B165-65C8FEF01A1C}"/>
    <cellStyle name="Normal 8 5 2 7" xfId="4873" xr:uid="{00000000-0005-0000-0000-0000331E0000}"/>
    <cellStyle name="Normal 8 5 2 7 2" xfId="13323" xr:uid="{26070222-1C74-44C4-80A2-A06405019B72}"/>
    <cellStyle name="Normal 8 5 2 8" xfId="9105" xr:uid="{49F97AF0-1534-4586-856F-BC0FA1C4BF17}"/>
    <cellStyle name="Normal 8 5 3" xfId="974" xr:uid="{00000000-0005-0000-0000-0000341E0000}"/>
    <cellStyle name="Normal 8 5 3 2" xfId="3208" xr:uid="{00000000-0005-0000-0000-0000351E0000}"/>
    <cellStyle name="Normal 8 5 3 2 2" xfId="7430" xr:uid="{00000000-0005-0000-0000-0000361E0000}"/>
    <cellStyle name="Normal 8 5 3 2 2 2" xfId="15880" xr:uid="{1F68025D-0ABA-4A5B-ADAC-56834B4B4453}"/>
    <cellStyle name="Normal 8 5 3 2 3" xfId="11662" xr:uid="{6F62EEC7-F902-4AE5-9641-1C857DDFACCC}"/>
    <cellStyle name="Normal 8 5 3 3" xfId="5285" xr:uid="{00000000-0005-0000-0000-0000371E0000}"/>
    <cellStyle name="Normal 8 5 3 3 2" xfId="13735" xr:uid="{EBFE2913-3282-4911-BB3C-036A456B4A39}"/>
    <cellStyle name="Normal 8 5 3 4" xfId="9517" xr:uid="{60DF9037-C134-4916-8604-4A7542690E96}"/>
    <cellStyle name="Normal 8 5 4" xfId="1391" xr:uid="{00000000-0005-0000-0000-0000381E0000}"/>
    <cellStyle name="Normal 8 5 4 2" xfId="3621" xr:uid="{00000000-0005-0000-0000-0000391E0000}"/>
    <cellStyle name="Normal 8 5 4 2 2" xfId="7843" xr:uid="{00000000-0005-0000-0000-00003A1E0000}"/>
    <cellStyle name="Normal 8 5 4 2 2 2" xfId="16293" xr:uid="{F1CEDBC4-83DB-420D-90CA-7EAF78EE11D3}"/>
    <cellStyle name="Normal 8 5 4 2 3" xfId="12075" xr:uid="{AA29C858-F74A-43E5-BB47-B43988838400}"/>
    <cellStyle name="Normal 8 5 4 3" xfId="5698" xr:uid="{00000000-0005-0000-0000-00003B1E0000}"/>
    <cellStyle name="Normal 8 5 4 3 2" xfId="14148" xr:uid="{A070F5AA-4D5D-40CD-931B-0D08C4B4BBFA}"/>
    <cellStyle name="Normal 8 5 4 4" xfId="9930" xr:uid="{76650627-480F-4D6A-8E0E-3959526C1F16}"/>
    <cellStyle name="Normal 8 5 5" xfId="1804" xr:uid="{00000000-0005-0000-0000-00003C1E0000}"/>
    <cellStyle name="Normal 8 5 5 2" xfId="4034" xr:uid="{00000000-0005-0000-0000-00003D1E0000}"/>
    <cellStyle name="Normal 8 5 5 2 2" xfId="8256" xr:uid="{00000000-0005-0000-0000-00003E1E0000}"/>
    <cellStyle name="Normal 8 5 5 2 2 2" xfId="16706" xr:uid="{CC2C09CF-95C8-45E7-9C13-5FB02D0225B9}"/>
    <cellStyle name="Normal 8 5 5 2 3" xfId="12488" xr:uid="{7C043FB4-7D4E-41F9-AEEC-7129D2D095C6}"/>
    <cellStyle name="Normal 8 5 5 3" xfId="6111" xr:uid="{00000000-0005-0000-0000-00003F1E0000}"/>
    <cellStyle name="Normal 8 5 5 3 2" xfId="14561" xr:uid="{8F9F539D-72B6-4E25-9FCB-1BBE35C98322}"/>
    <cellStyle name="Normal 8 5 5 4" xfId="10343" xr:uid="{4F365B6A-E2E0-47B0-9E5B-2CD0EE7CD82C}"/>
    <cellStyle name="Normal 8 5 6" xfId="2218" xr:uid="{00000000-0005-0000-0000-0000401E0000}"/>
    <cellStyle name="Normal 8 5 6 2" xfId="4447" xr:uid="{00000000-0005-0000-0000-0000411E0000}"/>
    <cellStyle name="Normal 8 5 6 2 2" xfId="8669" xr:uid="{00000000-0005-0000-0000-0000421E0000}"/>
    <cellStyle name="Normal 8 5 6 2 2 2" xfId="17119" xr:uid="{1696D106-BEA8-4A04-AEC0-24392FC3E271}"/>
    <cellStyle name="Normal 8 5 6 2 3" xfId="12901" xr:uid="{E233015C-7863-4C5F-A24F-8CA95B9577F2}"/>
    <cellStyle name="Normal 8 5 6 3" xfId="6524" xr:uid="{00000000-0005-0000-0000-0000431E0000}"/>
    <cellStyle name="Normal 8 5 6 3 2" xfId="14974" xr:uid="{EECC5FE0-D069-42F4-ADA9-D54B424BAC47}"/>
    <cellStyle name="Normal 8 5 6 4" xfId="10756" xr:uid="{3BE28868-5E0E-4C41-B368-451C5C2A2B90}"/>
    <cellStyle name="Normal 8 5 7" xfId="2654" xr:uid="{00000000-0005-0000-0000-0000441E0000}"/>
    <cellStyle name="Normal 8 5 7 2" xfId="6937" xr:uid="{00000000-0005-0000-0000-0000451E0000}"/>
    <cellStyle name="Normal 8 5 7 2 2" xfId="15387" xr:uid="{AAE6E6EE-49F7-432D-9F8A-268FD29A6442}"/>
    <cellStyle name="Normal 8 5 7 3" xfId="11169" xr:uid="{649F056B-1E21-44D6-8258-22CF8A7D4C55}"/>
    <cellStyle name="Normal 8 5 8" xfId="4872" xr:uid="{00000000-0005-0000-0000-0000461E0000}"/>
    <cellStyle name="Normal 8 5 8 2" xfId="13322" xr:uid="{2428315F-A14E-41C5-B253-C437B8DFE6A2}"/>
    <cellStyle name="Normal 8 5 9" xfId="9104" xr:uid="{AB002E04-C390-4AEF-99B5-DE92A5A62FB9}"/>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15882" xr:uid="{1DA6B9AE-F88B-4FA2-A28D-62F0B876DD61}"/>
    <cellStyle name="Normal 8 6 2 2 3" xfId="11664" xr:uid="{3A9AE71F-6E18-4689-8D99-C889A3704930}"/>
    <cellStyle name="Normal 8 6 2 3" xfId="5287" xr:uid="{00000000-0005-0000-0000-00004B1E0000}"/>
    <cellStyle name="Normal 8 6 2 3 2" xfId="13737" xr:uid="{AC808420-A452-44C7-9F2E-1378508C3A4B}"/>
    <cellStyle name="Normal 8 6 2 4" xfId="9519" xr:uid="{BAEFA21B-6893-4270-8023-9DA460429C77}"/>
    <cellStyle name="Normal 8 6 3" xfId="1393" xr:uid="{00000000-0005-0000-0000-00004C1E0000}"/>
    <cellStyle name="Normal 8 6 3 2" xfId="3623" xr:uid="{00000000-0005-0000-0000-00004D1E0000}"/>
    <cellStyle name="Normal 8 6 3 2 2" xfId="7845" xr:uid="{00000000-0005-0000-0000-00004E1E0000}"/>
    <cellStyle name="Normal 8 6 3 2 2 2" xfId="16295" xr:uid="{31C49AFE-A6D5-46E4-9623-2A572DFB41A1}"/>
    <cellStyle name="Normal 8 6 3 2 3" xfId="12077" xr:uid="{398A3A32-C59E-4832-91A5-6BB9039C319D}"/>
    <cellStyle name="Normal 8 6 3 3" xfId="5700" xr:uid="{00000000-0005-0000-0000-00004F1E0000}"/>
    <cellStyle name="Normal 8 6 3 3 2" xfId="14150" xr:uid="{85380C94-BA3A-401F-8775-D0775D34FFDC}"/>
    <cellStyle name="Normal 8 6 3 4" xfId="9932" xr:uid="{7DD55D63-3121-4266-B47F-6DE20319FDE5}"/>
    <cellStyle name="Normal 8 6 4" xfId="1806" xr:uid="{00000000-0005-0000-0000-0000501E0000}"/>
    <cellStyle name="Normal 8 6 4 2" xfId="4036" xr:uid="{00000000-0005-0000-0000-0000511E0000}"/>
    <cellStyle name="Normal 8 6 4 2 2" xfId="8258" xr:uid="{00000000-0005-0000-0000-0000521E0000}"/>
    <cellStyle name="Normal 8 6 4 2 2 2" xfId="16708" xr:uid="{493EF5E3-9858-45DB-AAA6-E813220A507B}"/>
    <cellStyle name="Normal 8 6 4 2 3" xfId="12490" xr:uid="{1F370DDC-E4C6-4DFF-9FB5-01DE5D6E74D5}"/>
    <cellStyle name="Normal 8 6 4 3" xfId="6113" xr:uid="{00000000-0005-0000-0000-0000531E0000}"/>
    <cellStyle name="Normal 8 6 4 3 2" xfId="14563" xr:uid="{F130F6D5-9FCE-448A-9503-B7951F64C05D}"/>
    <cellStyle name="Normal 8 6 4 4" xfId="10345" xr:uid="{4E29A26D-848D-4284-923D-B1D572C6A0EE}"/>
    <cellStyle name="Normal 8 6 5" xfId="2220" xr:uid="{00000000-0005-0000-0000-0000541E0000}"/>
    <cellStyle name="Normal 8 6 5 2" xfId="4449" xr:uid="{00000000-0005-0000-0000-0000551E0000}"/>
    <cellStyle name="Normal 8 6 5 2 2" xfId="8671" xr:uid="{00000000-0005-0000-0000-0000561E0000}"/>
    <cellStyle name="Normal 8 6 5 2 2 2" xfId="17121" xr:uid="{64E2B4E5-2572-4994-B7A1-3D44070A760F}"/>
    <cellStyle name="Normal 8 6 5 2 3" xfId="12903" xr:uid="{EDC81DCA-BE88-4AD9-A350-FD007F375FDA}"/>
    <cellStyle name="Normal 8 6 5 3" xfId="6526" xr:uid="{00000000-0005-0000-0000-0000571E0000}"/>
    <cellStyle name="Normal 8 6 5 3 2" xfId="14976" xr:uid="{2D7D6FD3-B371-4939-9169-5E1A5803058B}"/>
    <cellStyle name="Normal 8 6 5 4" xfId="10758" xr:uid="{12DF6779-7205-4D10-B960-A42F9C3636D8}"/>
    <cellStyle name="Normal 8 6 6" xfId="2656" xr:uid="{00000000-0005-0000-0000-0000581E0000}"/>
    <cellStyle name="Normal 8 6 6 2" xfId="6939" xr:uid="{00000000-0005-0000-0000-0000591E0000}"/>
    <cellStyle name="Normal 8 6 6 2 2" xfId="15389" xr:uid="{9EDF209B-31B4-46A4-90FA-B5E365D4074A}"/>
    <cellStyle name="Normal 8 6 6 3" xfId="11171" xr:uid="{ECCF19AF-B705-41DF-8C49-275C52A17AF8}"/>
    <cellStyle name="Normal 8 6 7" xfId="4874" xr:uid="{00000000-0005-0000-0000-00005A1E0000}"/>
    <cellStyle name="Normal 8 6 7 2" xfId="13324" xr:uid="{F1A45F7A-8E69-4BAF-84CB-1B3C8F8317C1}"/>
    <cellStyle name="Normal 8 6 8" xfId="9106" xr:uid="{6AD03E9B-ED85-437A-9A30-384E840183DF}"/>
    <cellStyle name="Normal 8 7" xfId="945" xr:uid="{00000000-0005-0000-0000-00005B1E0000}"/>
    <cellStyle name="Normal 8 7 2" xfId="3179" xr:uid="{00000000-0005-0000-0000-00005C1E0000}"/>
    <cellStyle name="Normal 8 7 2 2" xfId="7401" xr:uid="{00000000-0005-0000-0000-00005D1E0000}"/>
    <cellStyle name="Normal 8 7 2 2 2" xfId="15851" xr:uid="{1716DBC9-9629-40E5-91AA-CD277FC2929E}"/>
    <cellStyle name="Normal 8 7 2 3" xfId="11633" xr:uid="{490B89FC-A069-47C7-9793-23985E6A95F8}"/>
    <cellStyle name="Normal 8 7 3" xfId="5256" xr:uid="{00000000-0005-0000-0000-00005E1E0000}"/>
    <cellStyle name="Normal 8 7 3 2" xfId="13706" xr:uid="{E33FCEB0-0843-4014-A583-B5C423B3DDB4}"/>
    <cellStyle name="Normal 8 7 4" xfId="9488" xr:uid="{21881588-1D41-4440-A856-8C0E94C30A06}"/>
    <cellStyle name="Normal 8 8" xfId="1362" xr:uid="{00000000-0005-0000-0000-00005F1E0000}"/>
    <cellStyle name="Normal 8 8 2" xfId="3592" xr:uid="{00000000-0005-0000-0000-0000601E0000}"/>
    <cellStyle name="Normal 8 8 2 2" xfId="7814" xr:uid="{00000000-0005-0000-0000-0000611E0000}"/>
    <cellStyle name="Normal 8 8 2 2 2" xfId="16264" xr:uid="{0C257906-3D6E-4B3C-9AF5-A315435E5AF6}"/>
    <cellStyle name="Normal 8 8 2 3" xfId="12046" xr:uid="{9F82C817-139D-436C-9303-62D0343E5BEF}"/>
    <cellStyle name="Normal 8 8 3" xfId="5669" xr:uid="{00000000-0005-0000-0000-0000621E0000}"/>
    <cellStyle name="Normal 8 8 3 2" xfId="14119" xr:uid="{943D093D-9D57-4FB1-9CCF-DAB6FAAD10C0}"/>
    <cellStyle name="Normal 8 8 4" xfId="9901" xr:uid="{E37EB77D-1B4E-4087-8128-0F93FE8DD890}"/>
    <cellStyle name="Normal 8 9" xfId="1775" xr:uid="{00000000-0005-0000-0000-0000631E0000}"/>
    <cellStyle name="Normal 8 9 2" xfId="4005" xr:uid="{00000000-0005-0000-0000-0000641E0000}"/>
    <cellStyle name="Normal 8 9 2 2" xfId="8227" xr:uid="{00000000-0005-0000-0000-0000651E0000}"/>
    <cellStyle name="Normal 8 9 2 2 2" xfId="16677" xr:uid="{97C31130-5236-4B87-B858-97174FC027D5}"/>
    <cellStyle name="Normal 8 9 2 3" xfId="12459" xr:uid="{6BD11A77-FF38-4295-A588-DC39185433E5}"/>
    <cellStyle name="Normal 8 9 3" xfId="6082" xr:uid="{00000000-0005-0000-0000-0000661E0000}"/>
    <cellStyle name="Normal 8 9 3 2" xfId="14532" xr:uid="{B89EE911-E77D-4C16-8A39-26A624AFA6C1}"/>
    <cellStyle name="Normal 8 9 4" xfId="10314" xr:uid="{4BA39F09-EDE0-438E-8376-D3380BDC1263}"/>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7649B0C1-3AC7-4998-BE74-AD807563D416}"/>
    <cellStyle name="Normal 9 2 10 3" xfId="11172" xr:uid="{A91425EC-4625-416A-9152-91ECA0D8D11F}"/>
    <cellStyle name="Normal 9 2 11" xfId="4875" xr:uid="{00000000-0005-0000-0000-00006B1E0000}"/>
    <cellStyle name="Normal 9 2 11 2" xfId="13325" xr:uid="{780675A2-B107-43DE-843C-2A147F6E2EBE}"/>
    <cellStyle name="Normal 9 2 12" xfId="9107" xr:uid="{B2AD9D06-76AA-42E5-91B4-7EA165C06B81}"/>
    <cellStyle name="Normal 9 2 2" xfId="512" xr:uid="{00000000-0005-0000-0000-00006C1E0000}"/>
    <cellStyle name="Normal 9 2 2 10" xfId="4876" xr:uid="{00000000-0005-0000-0000-00006D1E0000}"/>
    <cellStyle name="Normal 9 2 2 10 2" xfId="13326" xr:uid="{709F8E34-7C11-48CC-857A-53133CF4D069}"/>
    <cellStyle name="Normal 9 2 2 11" xfId="9108" xr:uid="{8D36481E-588F-4832-BC96-892C92855C71}"/>
    <cellStyle name="Normal 9 2 2 2" xfId="513" xr:uid="{00000000-0005-0000-0000-00006E1E0000}"/>
    <cellStyle name="Normal 9 2 2 2 10" xfId="9109" xr:uid="{B5FB478C-434D-4D03-B45D-F6481B01BE76}"/>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73AC3B34-CBF8-4E84-983C-9D99B6CE3F03}"/>
    <cellStyle name="Normal 9 2 2 2 2 2 2 2 3" xfId="11669" xr:uid="{35D495BB-28BE-4F6B-A234-8F900B93EB78}"/>
    <cellStyle name="Normal 9 2 2 2 2 2 2 3" xfId="5292" xr:uid="{00000000-0005-0000-0000-0000741E0000}"/>
    <cellStyle name="Normal 9 2 2 2 2 2 2 3 2" xfId="13742" xr:uid="{C5DE43B2-685E-4ABF-AC24-7655998A7B0E}"/>
    <cellStyle name="Normal 9 2 2 2 2 2 2 4" xfId="9524" xr:uid="{C745E139-5841-4DAD-9FA4-650B769E7841}"/>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3825865B-E2CF-4BF7-B349-3C7D523D3F92}"/>
    <cellStyle name="Normal 9 2 2 2 2 2 3 2 3" xfId="12082" xr:uid="{A56B5CF6-6458-4D46-AC43-B72082297C7C}"/>
    <cellStyle name="Normal 9 2 2 2 2 2 3 3" xfId="5705" xr:uid="{00000000-0005-0000-0000-0000781E0000}"/>
    <cellStyle name="Normal 9 2 2 2 2 2 3 3 2" xfId="14155" xr:uid="{1285531B-DF28-4E15-BE86-7C002ECDAF7A}"/>
    <cellStyle name="Normal 9 2 2 2 2 2 3 4" xfId="9937" xr:uid="{5B1DB2F7-6AE5-4C42-84E9-C189BD1C3948}"/>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E7B29A58-6682-42D7-BBFC-39D5A3686DD4}"/>
    <cellStyle name="Normal 9 2 2 2 2 2 4 2 3" xfId="12495" xr:uid="{B6F7D02A-EA97-4BC1-8EE4-F53AE2BDB056}"/>
    <cellStyle name="Normal 9 2 2 2 2 2 4 3" xfId="6118" xr:uid="{00000000-0005-0000-0000-00007C1E0000}"/>
    <cellStyle name="Normal 9 2 2 2 2 2 4 3 2" xfId="14568" xr:uid="{A4E69B40-23D7-4D85-BAB1-7099794A24B7}"/>
    <cellStyle name="Normal 9 2 2 2 2 2 4 4" xfId="10350" xr:uid="{6B29C099-8BC1-48A4-8824-E91DCAE6D9CA}"/>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6B062753-D737-40D7-A6D3-8900F8CA2910}"/>
    <cellStyle name="Normal 9 2 2 2 2 2 5 2 3" xfId="12908" xr:uid="{A232E9B3-1D9B-4863-B600-B8E9CF75AA0E}"/>
    <cellStyle name="Normal 9 2 2 2 2 2 5 3" xfId="6531" xr:uid="{00000000-0005-0000-0000-0000801E0000}"/>
    <cellStyle name="Normal 9 2 2 2 2 2 5 3 2" xfId="14981" xr:uid="{DB9E1DE2-CEF1-4249-AC41-66167DFC7A11}"/>
    <cellStyle name="Normal 9 2 2 2 2 2 5 4" xfId="10763" xr:uid="{04F39C3D-5055-46A3-B3A6-5DB8928633FA}"/>
    <cellStyle name="Normal 9 2 2 2 2 2 6" xfId="2661" xr:uid="{00000000-0005-0000-0000-0000811E0000}"/>
    <cellStyle name="Normal 9 2 2 2 2 2 6 2" xfId="6944" xr:uid="{00000000-0005-0000-0000-0000821E0000}"/>
    <cellStyle name="Normal 9 2 2 2 2 2 6 2 2" xfId="15394" xr:uid="{0E943C68-B299-4C35-BE9B-8237839CD500}"/>
    <cellStyle name="Normal 9 2 2 2 2 2 6 3" xfId="11176" xr:uid="{65934656-1B15-4A28-A1EC-653EA1B98803}"/>
    <cellStyle name="Normal 9 2 2 2 2 2 7" xfId="4879" xr:uid="{00000000-0005-0000-0000-0000831E0000}"/>
    <cellStyle name="Normal 9 2 2 2 2 2 7 2" xfId="13329" xr:uid="{2393A01B-01BC-42B6-BB9E-EFFCD99D60C3}"/>
    <cellStyle name="Normal 9 2 2 2 2 2 8" xfId="9111" xr:uid="{0C3D241D-E264-452A-BC71-86714217BD59}"/>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CB0F09AA-FF08-4A80-A41E-6B7DD9F76297}"/>
    <cellStyle name="Normal 9 2 2 2 2 3 2 3" xfId="11668" xr:uid="{AB388647-BEAD-4387-8300-8C971B41E5E2}"/>
    <cellStyle name="Normal 9 2 2 2 2 3 3" xfId="5291" xr:uid="{00000000-0005-0000-0000-0000871E0000}"/>
    <cellStyle name="Normal 9 2 2 2 2 3 3 2" xfId="13741" xr:uid="{366A9B19-2529-4985-B0D3-AB8D003E9281}"/>
    <cellStyle name="Normal 9 2 2 2 2 3 4" xfId="9523" xr:uid="{30F29CC8-BDB5-45FA-8665-6935C8861055}"/>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7A188DD7-9F41-497A-A982-8F0CB72ADF9C}"/>
    <cellStyle name="Normal 9 2 2 2 2 4 2 3" xfId="12081" xr:uid="{97FBBDAC-FFB2-44A7-8EBA-2B9FB48FAF92}"/>
    <cellStyle name="Normal 9 2 2 2 2 4 3" xfId="5704" xr:uid="{00000000-0005-0000-0000-00008B1E0000}"/>
    <cellStyle name="Normal 9 2 2 2 2 4 3 2" xfId="14154" xr:uid="{B877474F-2C64-49E3-8C8F-0C9D6FDF1903}"/>
    <cellStyle name="Normal 9 2 2 2 2 4 4" xfId="9936" xr:uid="{40EEE712-CC45-4B96-91A7-5330851CEADD}"/>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D616A3B4-81F6-4AC7-AA90-5C4F7F779522}"/>
    <cellStyle name="Normal 9 2 2 2 2 5 2 3" xfId="12494" xr:uid="{72724F29-DB8C-4588-BF80-A59FEE059DBC}"/>
    <cellStyle name="Normal 9 2 2 2 2 5 3" xfId="6117" xr:uid="{00000000-0005-0000-0000-00008F1E0000}"/>
    <cellStyle name="Normal 9 2 2 2 2 5 3 2" xfId="14567" xr:uid="{07229C2D-46C0-40AF-85FB-9481FE9AB897}"/>
    <cellStyle name="Normal 9 2 2 2 2 5 4" xfId="10349" xr:uid="{A10952C8-A037-4441-A991-6ED1DDCAEBFA}"/>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6549D77A-315F-47BC-862C-D0654DBC5EC9}"/>
    <cellStyle name="Normal 9 2 2 2 2 6 2 3" xfId="12907" xr:uid="{DF80B649-2654-4380-9D22-D1BDB8E2B748}"/>
    <cellStyle name="Normal 9 2 2 2 2 6 3" xfId="6530" xr:uid="{00000000-0005-0000-0000-0000931E0000}"/>
    <cellStyle name="Normal 9 2 2 2 2 6 3 2" xfId="14980" xr:uid="{1A81D787-44AB-400B-9B4D-A162AF4C28C7}"/>
    <cellStyle name="Normal 9 2 2 2 2 6 4" xfId="10762" xr:uid="{16DE48C0-047B-48F7-B18E-762350B7D691}"/>
    <cellStyle name="Normal 9 2 2 2 2 7" xfId="2660" xr:uid="{00000000-0005-0000-0000-0000941E0000}"/>
    <cellStyle name="Normal 9 2 2 2 2 7 2" xfId="6943" xr:uid="{00000000-0005-0000-0000-0000951E0000}"/>
    <cellStyle name="Normal 9 2 2 2 2 7 2 2" xfId="15393" xr:uid="{27F57C90-3F20-40BC-BFDA-81ECFA3BFF30}"/>
    <cellStyle name="Normal 9 2 2 2 2 7 3" xfId="11175" xr:uid="{0551466F-B323-4081-8A94-F6224B61A460}"/>
    <cellStyle name="Normal 9 2 2 2 2 8" xfId="4878" xr:uid="{00000000-0005-0000-0000-0000961E0000}"/>
    <cellStyle name="Normal 9 2 2 2 2 8 2" xfId="13328" xr:uid="{CD66F2D1-88D9-486C-B775-CC2CDAA08D82}"/>
    <cellStyle name="Normal 9 2 2 2 2 9" xfId="9110" xr:uid="{BE213304-0AE9-4013-A5FA-3A82704EED8E}"/>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729C0288-FEFC-424C-AA24-86C9FD16F623}"/>
    <cellStyle name="Normal 9 2 2 2 3 2 2 3" xfId="11670" xr:uid="{959EC61C-6892-4C93-8E6F-4C174B87FFEA}"/>
    <cellStyle name="Normal 9 2 2 2 3 2 3" xfId="5293" xr:uid="{00000000-0005-0000-0000-00009B1E0000}"/>
    <cellStyle name="Normal 9 2 2 2 3 2 3 2" xfId="13743" xr:uid="{1E35E105-B35C-4BE7-AEBD-9EF31439CBE1}"/>
    <cellStyle name="Normal 9 2 2 2 3 2 4" xfId="9525" xr:uid="{F3457A27-5887-47B3-960E-1D5E65ACC431}"/>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BAA2636B-CDA6-43DD-BF73-52AEF5378383}"/>
    <cellStyle name="Normal 9 2 2 2 3 3 2 3" xfId="12083" xr:uid="{136BAEB3-51C6-4D8F-9B5C-F2BC6D487CB5}"/>
    <cellStyle name="Normal 9 2 2 2 3 3 3" xfId="5706" xr:uid="{00000000-0005-0000-0000-00009F1E0000}"/>
    <cellStyle name="Normal 9 2 2 2 3 3 3 2" xfId="14156" xr:uid="{7C8B0C98-925D-48F4-A188-FAB348C47D36}"/>
    <cellStyle name="Normal 9 2 2 2 3 3 4" xfId="9938" xr:uid="{59803250-6A91-4183-A894-D1521EE5B04D}"/>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56FB341D-9D69-401A-9179-20A6555A62D4}"/>
    <cellStyle name="Normal 9 2 2 2 3 4 2 3" xfId="12496" xr:uid="{AC1FBE33-852D-40CD-A541-DB27A7EAA8FC}"/>
    <cellStyle name="Normal 9 2 2 2 3 4 3" xfId="6119" xr:uid="{00000000-0005-0000-0000-0000A31E0000}"/>
    <cellStyle name="Normal 9 2 2 2 3 4 3 2" xfId="14569" xr:uid="{48B20F16-67A5-4223-A3B8-769E29C7925A}"/>
    <cellStyle name="Normal 9 2 2 2 3 4 4" xfId="10351" xr:uid="{376248A1-FAA3-43E3-9E47-20BBA212F99D}"/>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4CCAB03D-CEE0-4460-B579-00B28B67B68F}"/>
    <cellStyle name="Normal 9 2 2 2 3 5 2 3" xfId="12909" xr:uid="{AB704F06-95CB-4032-960D-11B09C655AA2}"/>
    <cellStyle name="Normal 9 2 2 2 3 5 3" xfId="6532" xr:uid="{00000000-0005-0000-0000-0000A71E0000}"/>
    <cellStyle name="Normal 9 2 2 2 3 5 3 2" xfId="14982" xr:uid="{601EC0E4-7CF3-40BF-BF4E-3623076259A6}"/>
    <cellStyle name="Normal 9 2 2 2 3 5 4" xfId="10764" xr:uid="{EB406B51-DD93-4055-8758-1201848EFBB3}"/>
    <cellStyle name="Normal 9 2 2 2 3 6" xfId="2662" xr:uid="{00000000-0005-0000-0000-0000A81E0000}"/>
    <cellStyle name="Normal 9 2 2 2 3 6 2" xfId="6945" xr:uid="{00000000-0005-0000-0000-0000A91E0000}"/>
    <cellStyle name="Normal 9 2 2 2 3 6 2 2" xfId="15395" xr:uid="{CF5DF1F1-650D-458B-BCD1-7DD3DB62ED2F}"/>
    <cellStyle name="Normal 9 2 2 2 3 6 3" xfId="11177" xr:uid="{02DC655B-BE40-43AE-80DB-BAF60F9EE681}"/>
    <cellStyle name="Normal 9 2 2 2 3 7" xfId="4880" xr:uid="{00000000-0005-0000-0000-0000AA1E0000}"/>
    <cellStyle name="Normal 9 2 2 2 3 7 2" xfId="13330" xr:uid="{C0FC7BA9-037A-49A6-9501-D5FEB3C39D46}"/>
    <cellStyle name="Normal 9 2 2 2 3 8" xfId="9112" xr:uid="{6F7BB23F-A7EE-4A2B-928E-F54B2C81A366}"/>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9A75A47F-5EF5-4D5F-85AB-826AB73F0946}"/>
    <cellStyle name="Normal 9 2 2 2 4 2 3" xfId="11667" xr:uid="{18EC40E0-8E9A-4C3D-A29E-E93C969D42A5}"/>
    <cellStyle name="Normal 9 2 2 2 4 3" xfId="5290" xr:uid="{00000000-0005-0000-0000-0000AE1E0000}"/>
    <cellStyle name="Normal 9 2 2 2 4 3 2" xfId="13740" xr:uid="{B12CCDCB-DEF9-442E-995E-099E5C0BD372}"/>
    <cellStyle name="Normal 9 2 2 2 4 4" xfId="9522" xr:uid="{09F27C19-C296-453A-8598-3A7AE2CCCF5E}"/>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DD7D00C0-7251-4D57-AECF-C834A2CFCD3D}"/>
    <cellStyle name="Normal 9 2 2 2 5 2 3" xfId="12080" xr:uid="{F2A76BCF-DED3-47C9-B468-FE705C006FC1}"/>
    <cellStyle name="Normal 9 2 2 2 5 3" xfId="5703" xr:uid="{00000000-0005-0000-0000-0000B21E0000}"/>
    <cellStyle name="Normal 9 2 2 2 5 3 2" xfId="14153" xr:uid="{E943DBB8-08EE-4038-8A9D-F6F52F3522C3}"/>
    <cellStyle name="Normal 9 2 2 2 5 4" xfId="9935" xr:uid="{ED150745-016B-43E7-80A5-0E5B00224FBA}"/>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A8D71CA8-4FC5-42E4-BE7E-4C11039BFB15}"/>
    <cellStyle name="Normal 9 2 2 2 6 2 3" xfId="12493" xr:uid="{1EF49F63-A2A7-4C6D-8AF8-4A4FDE129910}"/>
    <cellStyle name="Normal 9 2 2 2 6 3" xfId="6116" xr:uid="{00000000-0005-0000-0000-0000B61E0000}"/>
    <cellStyle name="Normal 9 2 2 2 6 3 2" xfId="14566" xr:uid="{7C86CB12-A35D-4CC7-9BFA-56BE14A79EE1}"/>
    <cellStyle name="Normal 9 2 2 2 6 4" xfId="10348" xr:uid="{1A37CD47-3BA0-4880-B14D-DD39062B8AD5}"/>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D481DA47-C6D5-4F7B-8726-64124391076B}"/>
    <cellStyle name="Normal 9 2 2 2 7 2 3" xfId="12906" xr:uid="{ADC5F8FF-6B17-495B-9E4D-F0FBD5964B08}"/>
    <cellStyle name="Normal 9 2 2 2 7 3" xfId="6529" xr:uid="{00000000-0005-0000-0000-0000BA1E0000}"/>
    <cellStyle name="Normal 9 2 2 2 7 3 2" xfId="14979" xr:uid="{74966493-1CBF-4B06-9764-96F2CAE53274}"/>
    <cellStyle name="Normal 9 2 2 2 7 4" xfId="10761" xr:uid="{1A844CDF-5DDA-4FAD-AE70-F92FDABBAB4B}"/>
    <cellStyle name="Normal 9 2 2 2 8" xfId="2659" xr:uid="{00000000-0005-0000-0000-0000BB1E0000}"/>
    <cellStyle name="Normal 9 2 2 2 8 2" xfId="6942" xr:uid="{00000000-0005-0000-0000-0000BC1E0000}"/>
    <cellStyle name="Normal 9 2 2 2 8 2 2" xfId="15392" xr:uid="{D3234AAE-0681-4C57-9750-31C927EA6F62}"/>
    <cellStyle name="Normal 9 2 2 2 8 3" xfId="11174" xr:uid="{68A3824D-2D07-4C95-8352-485DE00EDDB2}"/>
    <cellStyle name="Normal 9 2 2 2 9" xfId="4877" xr:uid="{00000000-0005-0000-0000-0000BD1E0000}"/>
    <cellStyle name="Normal 9 2 2 2 9 2" xfId="13327" xr:uid="{DCEAC04A-920D-445F-B29D-82B96A38D8C8}"/>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ABC8EA08-1D67-4F4D-8A24-F972A06E973C}"/>
    <cellStyle name="Normal 9 2 2 3 2 2 2 3" xfId="11672" xr:uid="{2B9E03CA-9038-4527-A5D4-046D139DF012}"/>
    <cellStyle name="Normal 9 2 2 3 2 2 3" xfId="5295" xr:uid="{00000000-0005-0000-0000-0000C31E0000}"/>
    <cellStyle name="Normal 9 2 2 3 2 2 3 2" xfId="13745" xr:uid="{2696FE91-3198-47AD-8856-6989D809C9F6}"/>
    <cellStyle name="Normal 9 2 2 3 2 2 4" xfId="9527" xr:uid="{4C848D85-BAC7-419E-AE57-BFA13E81F801}"/>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335C44AA-8C80-43CD-BCA3-756FC2952F03}"/>
    <cellStyle name="Normal 9 2 2 3 2 3 2 3" xfId="12085" xr:uid="{0ED487C4-C256-4637-A3BE-FA593F17831C}"/>
    <cellStyle name="Normal 9 2 2 3 2 3 3" xfId="5708" xr:uid="{00000000-0005-0000-0000-0000C71E0000}"/>
    <cellStyle name="Normal 9 2 2 3 2 3 3 2" xfId="14158" xr:uid="{7C71E55D-CD94-4943-A01D-C30C5F5521BC}"/>
    <cellStyle name="Normal 9 2 2 3 2 3 4" xfId="9940" xr:uid="{C5014CA7-95E3-46FA-A9A7-90F83DA91F3A}"/>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869B9DE1-FBA2-4F4D-958B-A2546B3831D7}"/>
    <cellStyle name="Normal 9 2 2 3 2 4 2 3" xfId="12498" xr:uid="{ABBB8F52-B84F-41E0-AC8A-687A568EC70E}"/>
    <cellStyle name="Normal 9 2 2 3 2 4 3" xfId="6121" xr:uid="{00000000-0005-0000-0000-0000CB1E0000}"/>
    <cellStyle name="Normal 9 2 2 3 2 4 3 2" xfId="14571" xr:uid="{E2EABA9E-E775-4433-8D82-EA8221B92127}"/>
    <cellStyle name="Normal 9 2 2 3 2 4 4" xfId="10353" xr:uid="{1FF5346C-6C81-4464-95FC-5C7D0688A82C}"/>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EDA914F6-FB38-464B-B184-D8858B9FCA92}"/>
    <cellStyle name="Normal 9 2 2 3 2 5 2 3" xfId="12911" xr:uid="{DA7AFEC5-80EA-4441-8DF6-87BCC7A05C26}"/>
    <cellStyle name="Normal 9 2 2 3 2 5 3" xfId="6534" xr:uid="{00000000-0005-0000-0000-0000CF1E0000}"/>
    <cellStyle name="Normal 9 2 2 3 2 5 3 2" xfId="14984" xr:uid="{21699C05-82E9-4D15-912E-9E3D42CC4794}"/>
    <cellStyle name="Normal 9 2 2 3 2 5 4" xfId="10766" xr:uid="{9F03804F-4575-4ACE-ACD2-029E206EA343}"/>
    <cellStyle name="Normal 9 2 2 3 2 6" xfId="2664" xr:uid="{00000000-0005-0000-0000-0000D01E0000}"/>
    <cellStyle name="Normal 9 2 2 3 2 6 2" xfId="6947" xr:uid="{00000000-0005-0000-0000-0000D11E0000}"/>
    <cellStyle name="Normal 9 2 2 3 2 6 2 2" xfId="15397" xr:uid="{87FA6B92-6E5D-4E3D-8C62-30AB76E097A2}"/>
    <cellStyle name="Normal 9 2 2 3 2 6 3" xfId="11179" xr:uid="{491AEBA3-5A68-4D65-AD1F-B4A51D1F8263}"/>
    <cellStyle name="Normal 9 2 2 3 2 7" xfId="4882" xr:uid="{00000000-0005-0000-0000-0000D21E0000}"/>
    <cellStyle name="Normal 9 2 2 3 2 7 2" xfId="13332" xr:uid="{DC12345F-FB34-4ED1-90AD-C51C64B09B85}"/>
    <cellStyle name="Normal 9 2 2 3 2 8" xfId="9114" xr:uid="{A4480B58-CCB0-4887-AAD0-72B9D5FC4AA9}"/>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76B1BA92-DD4D-4159-9507-900A3061BA15}"/>
    <cellStyle name="Normal 9 2 2 3 3 2 3" xfId="11671" xr:uid="{448A50A5-BAE4-40D0-B29C-0F7C1D2F5469}"/>
    <cellStyle name="Normal 9 2 2 3 3 3" xfId="5294" xr:uid="{00000000-0005-0000-0000-0000D61E0000}"/>
    <cellStyle name="Normal 9 2 2 3 3 3 2" xfId="13744" xr:uid="{871E2A81-C4DA-4CD1-AE8A-9C64106A5A33}"/>
    <cellStyle name="Normal 9 2 2 3 3 4" xfId="9526" xr:uid="{274BABA7-766C-4A98-B907-2901243F8FB3}"/>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029A81B1-AE19-4E32-81F9-1A921F690692}"/>
    <cellStyle name="Normal 9 2 2 3 4 2 3" xfId="12084" xr:uid="{67066CAF-6F47-4A10-9580-AE0E7043C151}"/>
    <cellStyle name="Normal 9 2 2 3 4 3" xfId="5707" xr:uid="{00000000-0005-0000-0000-0000DA1E0000}"/>
    <cellStyle name="Normal 9 2 2 3 4 3 2" xfId="14157" xr:uid="{335A5CE0-DE43-49BF-9584-8661416789FA}"/>
    <cellStyle name="Normal 9 2 2 3 4 4" xfId="9939" xr:uid="{21653680-716D-4B85-8E21-ECDB41FD443A}"/>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7CB14DC0-836C-4034-AE83-5A3EBB3768C4}"/>
    <cellStyle name="Normal 9 2 2 3 5 2 3" xfId="12497" xr:uid="{C62638B5-E869-4E84-A442-6E62A50A1048}"/>
    <cellStyle name="Normal 9 2 2 3 5 3" xfId="6120" xr:uid="{00000000-0005-0000-0000-0000DE1E0000}"/>
    <cellStyle name="Normal 9 2 2 3 5 3 2" xfId="14570" xr:uid="{2FA1186B-506D-4CF4-A191-CD655B27DC7F}"/>
    <cellStyle name="Normal 9 2 2 3 5 4" xfId="10352" xr:uid="{E8C4B543-C98D-43ED-8C49-61482046E518}"/>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0A8BD8C9-1EF2-457B-9655-4A575BB6C3B4}"/>
    <cellStyle name="Normal 9 2 2 3 6 2 3" xfId="12910" xr:uid="{E5A285F2-964D-45CE-A4C9-8ED7B34DB97A}"/>
    <cellStyle name="Normal 9 2 2 3 6 3" xfId="6533" xr:uid="{00000000-0005-0000-0000-0000E21E0000}"/>
    <cellStyle name="Normal 9 2 2 3 6 3 2" xfId="14983" xr:uid="{441F6325-31C2-4479-B44F-1A2E1912903C}"/>
    <cellStyle name="Normal 9 2 2 3 6 4" xfId="10765" xr:uid="{E6335361-95FF-4F0F-B912-65AD8A5E767F}"/>
    <cellStyle name="Normal 9 2 2 3 7" xfId="2663" xr:uid="{00000000-0005-0000-0000-0000E31E0000}"/>
    <cellStyle name="Normal 9 2 2 3 7 2" xfId="6946" xr:uid="{00000000-0005-0000-0000-0000E41E0000}"/>
    <cellStyle name="Normal 9 2 2 3 7 2 2" xfId="15396" xr:uid="{1EEC7CA8-2086-4B17-994E-6374B072A2C2}"/>
    <cellStyle name="Normal 9 2 2 3 7 3" xfId="11178" xr:uid="{085BC960-0528-469F-A961-FE45BDD31A93}"/>
    <cellStyle name="Normal 9 2 2 3 8" xfId="4881" xr:uid="{00000000-0005-0000-0000-0000E51E0000}"/>
    <cellStyle name="Normal 9 2 2 3 8 2" xfId="13331" xr:uid="{671C8F29-C6B2-4A47-A773-21488174625D}"/>
    <cellStyle name="Normal 9 2 2 3 9" xfId="9113" xr:uid="{88081013-F8F6-47F4-BA94-FD924FC53984}"/>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D9EED25A-431D-4CF8-B5E3-EAF77FC5F249}"/>
    <cellStyle name="Normal 9 2 2 4 2 2 3" xfId="11673" xr:uid="{3F635446-362B-4E80-BB65-484039C42426}"/>
    <cellStyle name="Normal 9 2 2 4 2 3" xfId="5296" xr:uid="{00000000-0005-0000-0000-0000EA1E0000}"/>
    <cellStyle name="Normal 9 2 2 4 2 3 2" xfId="13746" xr:uid="{E751C1A5-A46D-4E9F-A505-3BD10F966A62}"/>
    <cellStyle name="Normal 9 2 2 4 2 4" xfId="9528" xr:uid="{C828D8E2-24A6-48ED-81DA-0FFDFCF5C0F5}"/>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8EAB19A3-8C6A-4AAD-9EC0-7DD4080F3316}"/>
    <cellStyle name="Normal 9 2 2 4 3 2 3" xfId="12086" xr:uid="{05B6311E-02DF-4997-893D-941B8A9E69CB}"/>
    <cellStyle name="Normal 9 2 2 4 3 3" xfId="5709" xr:uid="{00000000-0005-0000-0000-0000EE1E0000}"/>
    <cellStyle name="Normal 9 2 2 4 3 3 2" xfId="14159" xr:uid="{F59E6ED1-1F58-4585-A862-2AF33BEF864C}"/>
    <cellStyle name="Normal 9 2 2 4 3 4" xfId="9941" xr:uid="{74E2E8F4-0AF7-4F0D-AB30-9D4111DCEDA7}"/>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39BEBDCD-4A7C-4BD4-81EB-495CE198C496}"/>
    <cellStyle name="Normal 9 2 2 4 4 2 3" xfId="12499" xr:uid="{FC62B8EE-B701-4457-B100-E5D545225326}"/>
    <cellStyle name="Normal 9 2 2 4 4 3" xfId="6122" xr:uid="{00000000-0005-0000-0000-0000F21E0000}"/>
    <cellStyle name="Normal 9 2 2 4 4 3 2" xfId="14572" xr:uid="{DE14CB8C-B48E-4ABD-A9EC-8E8D00143993}"/>
    <cellStyle name="Normal 9 2 2 4 4 4" xfId="10354" xr:uid="{724AAEFC-B92A-4428-8761-D613997BB236}"/>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5D419210-4DAE-4F65-B053-0102B73A1142}"/>
    <cellStyle name="Normal 9 2 2 4 5 2 3" xfId="12912" xr:uid="{5E89A853-D4A7-4C2C-9853-C3EF49764D15}"/>
    <cellStyle name="Normal 9 2 2 4 5 3" xfId="6535" xr:uid="{00000000-0005-0000-0000-0000F61E0000}"/>
    <cellStyle name="Normal 9 2 2 4 5 3 2" xfId="14985" xr:uid="{FFA8C152-94DD-4B71-94FB-FFC35B6FDDBE}"/>
    <cellStyle name="Normal 9 2 2 4 5 4" xfId="10767" xr:uid="{FF780AAF-4F3D-4AA8-8582-590E2721F32E}"/>
    <cellStyle name="Normal 9 2 2 4 6" xfId="2665" xr:uid="{00000000-0005-0000-0000-0000F71E0000}"/>
    <cellStyle name="Normal 9 2 2 4 6 2" xfId="6948" xr:uid="{00000000-0005-0000-0000-0000F81E0000}"/>
    <cellStyle name="Normal 9 2 2 4 6 2 2" xfId="15398" xr:uid="{EB7A7E72-A0E9-46D5-9D7F-7AD132B99AD5}"/>
    <cellStyle name="Normal 9 2 2 4 6 3" xfId="11180" xr:uid="{D2309695-A561-4F68-B0C8-23C0596D57E9}"/>
    <cellStyle name="Normal 9 2 2 4 7" xfId="4883" xr:uid="{00000000-0005-0000-0000-0000F91E0000}"/>
    <cellStyle name="Normal 9 2 2 4 7 2" xfId="13333" xr:uid="{79E06529-2494-46D6-A49F-953DC3B4C98A}"/>
    <cellStyle name="Normal 9 2 2 4 8" xfId="9115" xr:uid="{62E9FF9F-4DB8-4498-8DD8-6E925EA6D0A1}"/>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A40E6A65-95B0-4B39-B3D9-8A9C42FE46DE}"/>
    <cellStyle name="Normal 9 2 2 5 2 3" xfId="11666" xr:uid="{651ADE9F-DC1D-470A-9084-A8F7AD6EAFAF}"/>
    <cellStyle name="Normal 9 2 2 5 3" xfId="5289" xr:uid="{00000000-0005-0000-0000-0000FD1E0000}"/>
    <cellStyle name="Normal 9 2 2 5 3 2" xfId="13739" xr:uid="{DFE061DB-5610-4E84-8236-3CF7E69317E1}"/>
    <cellStyle name="Normal 9 2 2 5 4" xfId="9521" xr:uid="{45FF00E5-A014-4A4B-8E63-849EA42FA32C}"/>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07C6F821-C07A-4DFF-ACB7-B65127D0C52D}"/>
    <cellStyle name="Normal 9 2 2 6 2 3" xfId="12079" xr:uid="{2C1D5F44-6524-4858-8E5B-8B0B98698216}"/>
    <cellStyle name="Normal 9 2 2 6 3" xfId="5702" xr:uid="{00000000-0005-0000-0000-0000011F0000}"/>
    <cellStyle name="Normal 9 2 2 6 3 2" xfId="14152" xr:uid="{D05CB259-2A0B-4D88-9998-D130F39E1235}"/>
    <cellStyle name="Normal 9 2 2 6 4" xfId="9934" xr:uid="{BC251D1D-AE8A-4AFC-BD01-3576ED743C90}"/>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B496A70A-511B-4158-A66B-DAD85F309D94}"/>
    <cellStyle name="Normal 9 2 2 7 2 3" xfId="12492" xr:uid="{CB82E113-5E11-4B86-A790-668050C6C30D}"/>
    <cellStyle name="Normal 9 2 2 7 3" xfId="6115" xr:uid="{00000000-0005-0000-0000-0000051F0000}"/>
    <cellStyle name="Normal 9 2 2 7 3 2" xfId="14565" xr:uid="{C916B233-D3DA-46A5-B358-E43292ED0FA9}"/>
    <cellStyle name="Normal 9 2 2 7 4" xfId="10347" xr:uid="{4973B51A-D6BE-447E-B4EE-F68B196C51B3}"/>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209F0904-BF6F-452F-9B81-C458757D9950}"/>
    <cellStyle name="Normal 9 2 2 8 2 3" xfId="12905" xr:uid="{DC0B92B4-075B-45FB-9716-8EA35CD8051A}"/>
    <cellStyle name="Normal 9 2 2 8 3" xfId="6528" xr:uid="{00000000-0005-0000-0000-0000091F0000}"/>
    <cellStyle name="Normal 9 2 2 8 3 2" xfId="14978" xr:uid="{B5A37780-B334-437A-ACC5-1BBCB72F4D6D}"/>
    <cellStyle name="Normal 9 2 2 8 4" xfId="10760" xr:uid="{5607B070-8E06-4EFA-8013-19E54E647444}"/>
    <cellStyle name="Normal 9 2 2 9" xfId="2658" xr:uid="{00000000-0005-0000-0000-00000A1F0000}"/>
    <cellStyle name="Normal 9 2 2 9 2" xfId="6941" xr:uid="{00000000-0005-0000-0000-00000B1F0000}"/>
    <cellStyle name="Normal 9 2 2 9 2 2" xfId="15391" xr:uid="{E5FE5175-D14E-4975-B878-672CF0E3D4D8}"/>
    <cellStyle name="Normal 9 2 2 9 3" xfId="11173" xr:uid="{1FF9F700-FDF7-43A1-A6A5-67FEC87B4541}"/>
    <cellStyle name="Normal 9 2 3" xfId="520" xr:uid="{00000000-0005-0000-0000-00000C1F0000}"/>
    <cellStyle name="Normal 9 2 3 10" xfId="9116" xr:uid="{A30EF8D4-8A80-491C-8D1F-DC297CF15C96}"/>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39614B8D-AA1F-47E6-8F99-929B4FDF05E7}"/>
    <cellStyle name="Normal 9 2 3 2 2 2 2 3" xfId="11676" xr:uid="{B42D0FE3-F917-470C-B075-0B06C796DB74}"/>
    <cellStyle name="Normal 9 2 3 2 2 2 3" xfId="5299" xr:uid="{00000000-0005-0000-0000-0000121F0000}"/>
    <cellStyle name="Normal 9 2 3 2 2 2 3 2" xfId="13749" xr:uid="{7E74163B-38EC-4D6D-AC8C-FF5EE208C0EB}"/>
    <cellStyle name="Normal 9 2 3 2 2 2 4" xfId="9531" xr:uid="{59C70942-B84B-469A-A8F3-3BCF44C18978}"/>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FD65C7FB-F461-4CD7-BA5D-A5BD834A4979}"/>
    <cellStyle name="Normal 9 2 3 2 2 3 2 3" xfId="12089" xr:uid="{D596B07F-8F80-41E7-8CA5-D0269A8F6054}"/>
    <cellStyle name="Normal 9 2 3 2 2 3 3" xfId="5712" xr:uid="{00000000-0005-0000-0000-0000161F0000}"/>
    <cellStyle name="Normal 9 2 3 2 2 3 3 2" xfId="14162" xr:uid="{F7B01BE8-42DA-4C7A-BF5C-AFA2B9680CE5}"/>
    <cellStyle name="Normal 9 2 3 2 2 3 4" xfId="9944" xr:uid="{A0D72C71-6132-4518-9DF7-C6B160D6F8C5}"/>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58A16BD3-7E42-41D3-800E-1085879031E8}"/>
    <cellStyle name="Normal 9 2 3 2 2 4 2 3" xfId="12502" xr:uid="{5558C2A2-BC58-4673-B045-5D833CFA173E}"/>
    <cellStyle name="Normal 9 2 3 2 2 4 3" xfId="6125" xr:uid="{00000000-0005-0000-0000-00001A1F0000}"/>
    <cellStyle name="Normal 9 2 3 2 2 4 3 2" xfId="14575" xr:uid="{3C9C0545-059B-4B7C-9AC7-2F03CDF61EE7}"/>
    <cellStyle name="Normal 9 2 3 2 2 4 4" xfId="10357" xr:uid="{60F98873-796A-4434-A94E-23255F1EC6F9}"/>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C041D56F-E6EF-4675-BBD5-D0B37475987D}"/>
    <cellStyle name="Normal 9 2 3 2 2 5 2 3" xfId="12915" xr:uid="{D64CFD78-4D4C-4073-AD44-1D4826B1C330}"/>
    <cellStyle name="Normal 9 2 3 2 2 5 3" xfId="6538" xr:uid="{00000000-0005-0000-0000-00001E1F0000}"/>
    <cellStyle name="Normal 9 2 3 2 2 5 3 2" xfId="14988" xr:uid="{B0347927-9AE1-49AF-A001-45B7E2E8D999}"/>
    <cellStyle name="Normal 9 2 3 2 2 5 4" xfId="10770" xr:uid="{962CCC1B-51BA-494E-ABAB-12838E768129}"/>
    <cellStyle name="Normal 9 2 3 2 2 6" xfId="2668" xr:uid="{00000000-0005-0000-0000-00001F1F0000}"/>
    <cellStyle name="Normal 9 2 3 2 2 6 2" xfId="6951" xr:uid="{00000000-0005-0000-0000-0000201F0000}"/>
    <cellStyle name="Normal 9 2 3 2 2 6 2 2" xfId="15401" xr:uid="{CEBBA5F0-6188-47F2-ACC6-8B0657196D10}"/>
    <cellStyle name="Normal 9 2 3 2 2 6 3" xfId="11183" xr:uid="{44D32E90-10CB-439F-9C29-F09ABE363EDD}"/>
    <cellStyle name="Normal 9 2 3 2 2 7" xfId="4886" xr:uid="{00000000-0005-0000-0000-0000211F0000}"/>
    <cellStyle name="Normal 9 2 3 2 2 7 2" xfId="13336" xr:uid="{29CF63CC-2BB4-4BE8-A237-D38D10F90F1D}"/>
    <cellStyle name="Normal 9 2 3 2 2 8" xfId="9118" xr:uid="{C130F20B-E0BE-4D6D-8D6C-23507DFD505C}"/>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0C97173B-1A67-49E6-8C71-831BE0D52817}"/>
    <cellStyle name="Normal 9 2 3 2 3 2 3" xfId="11675" xr:uid="{9BCEB2AD-733D-4656-852B-694C1175E953}"/>
    <cellStyle name="Normal 9 2 3 2 3 3" xfId="5298" xr:uid="{00000000-0005-0000-0000-0000251F0000}"/>
    <cellStyle name="Normal 9 2 3 2 3 3 2" xfId="13748" xr:uid="{62C3B4C9-0CC4-408B-9063-3AAE1A6B25F6}"/>
    <cellStyle name="Normal 9 2 3 2 3 4" xfId="9530" xr:uid="{4098FDD2-8E68-4580-A377-E0DF0F5ACA69}"/>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8C4723EF-1C44-46E5-9AA1-2BDA515E90F2}"/>
    <cellStyle name="Normal 9 2 3 2 4 2 3" xfId="12088" xr:uid="{32C04480-42A5-4B8F-B1DD-6D0C38FFCAC2}"/>
    <cellStyle name="Normal 9 2 3 2 4 3" xfId="5711" xr:uid="{00000000-0005-0000-0000-0000291F0000}"/>
    <cellStyle name="Normal 9 2 3 2 4 3 2" xfId="14161" xr:uid="{D57E074E-4283-47BE-861C-BE6D3530F959}"/>
    <cellStyle name="Normal 9 2 3 2 4 4" xfId="9943" xr:uid="{6D5FF95E-0CE0-49C4-A914-6D0ED1F74B3E}"/>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26241537-9005-481A-8340-708945FFAA69}"/>
    <cellStyle name="Normal 9 2 3 2 5 2 3" xfId="12501" xr:uid="{0DF9DE34-9FD9-4A76-BBC7-976C07DD0212}"/>
    <cellStyle name="Normal 9 2 3 2 5 3" xfId="6124" xr:uid="{00000000-0005-0000-0000-00002D1F0000}"/>
    <cellStyle name="Normal 9 2 3 2 5 3 2" xfId="14574" xr:uid="{0F075C16-9B6E-4FEA-AD88-D1E74D1ECCA9}"/>
    <cellStyle name="Normal 9 2 3 2 5 4" xfId="10356" xr:uid="{CB5EDCD6-BBB0-4C7A-B1CC-0447AA12F972}"/>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F1C07BFA-4119-49DC-973C-BD4F4E6E3405}"/>
    <cellStyle name="Normal 9 2 3 2 6 2 3" xfId="12914" xr:uid="{348A4619-3070-4B4A-BF64-4104791DC70D}"/>
    <cellStyle name="Normal 9 2 3 2 6 3" xfId="6537" xr:uid="{00000000-0005-0000-0000-0000311F0000}"/>
    <cellStyle name="Normal 9 2 3 2 6 3 2" xfId="14987" xr:uid="{642B4A5F-8352-4422-B639-3E7059B373E1}"/>
    <cellStyle name="Normal 9 2 3 2 6 4" xfId="10769" xr:uid="{EA1A0C33-2EB1-48D4-9133-4FC326D5E658}"/>
    <cellStyle name="Normal 9 2 3 2 7" xfId="2667" xr:uid="{00000000-0005-0000-0000-0000321F0000}"/>
    <cellStyle name="Normal 9 2 3 2 7 2" xfId="6950" xr:uid="{00000000-0005-0000-0000-0000331F0000}"/>
    <cellStyle name="Normal 9 2 3 2 7 2 2" xfId="15400" xr:uid="{BED53AA2-CDA1-4BFD-82A5-5E463AB23AA1}"/>
    <cellStyle name="Normal 9 2 3 2 7 3" xfId="11182" xr:uid="{3AF223E5-C2F4-468E-A823-3CAF572920E9}"/>
    <cellStyle name="Normal 9 2 3 2 8" xfId="4885" xr:uid="{00000000-0005-0000-0000-0000341F0000}"/>
    <cellStyle name="Normal 9 2 3 2 8 2" xfId="13335" xr:uid="{F39779C8-420E-448C-8226-D81238A2CE51}"/>
    <cellStyle name="Normal 9 2 3 2 9" xfId="9117" xr:uid="{BA2B3672-A5E3-4367-BB90-2461DB53CBFA}"/>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E7C45B2B-DCAB-4C66-B3EC-74B8E963BEFA}"/>
    <cellStyle name="Normal 9 2 3 3 2 2 3" xfId="11677" xr:uid="{3074A192-18B5-4725-8ACC-4918AE210ED9}"/>
    <cellStyle name="Normal 9 2 3 3 2 3" xfId="5300" xr:uid="{00000000-0005-0000-0000-0000391F0000}"/>
    <cellStyle name="Normal 9 2 3 3 2 3 2" xfId="13750" xr:uid="{25BE6D2F-D85B-46CD-B8B6-C47CCA6CE66D}"/>
    <cellStyle name="Normal 9 2 3 3 2 4" xfId="9532" xr:uid="{29541789-4540-4528-9E13-BB0A388ACE55}"/>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B2B26CD4-64B1-4DD7-87A1-D30B0658EFB4}"/>
    <cellStyle name="Normal 9 2 3 3 3 2 3" xfId="12090" xr:uid="{9A5D3C28-C65C-48E6-8BE0-9E2EDE730D39}"/>
    <cellStyle name="Normal 9 2 3 3 3 3" xfId="5713" xr:uid="{00000000-0005-0000-0000-00003D1F0000}"/>
    <cellStyle name="Normal 9 2 3 3 3 3 2" xfId="14163" xr:uid="{2153AEA9-DC12-4296-8EC4-72E39D8BEE0A}"/>
    <cellStyle name="Normal 9 2 3 3 3 4" xfId="9945" xr:uid="{2C47DBB4-53A8-4AD8-AE1F-F715E3ED8463}"/>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AB51CFA4-9431-44CF-AB21-370F009C473B}"/>
    <cellStyle name="Normal 9 2 3 3 4 2 3" xfId="12503" xr:uid="{088566AF-0FF7-4221-A9B7-5DFCACB35912}"/>
    <cellStyle name="Normal 9 2 3 3 4 3" xfId="6126" xr:uid="{00000000-0005-0000-0000-0000411F0000}"/>
    <cellStyle name="Normal 9 2 3 3 4 3 2" xfId="14576" xr:uid="{14EC7648-211B-4124-9281-B5959150D59B}"/>
    <cellStyle name="Normal 9 2 3 3 4 4" xfId="10358" xr:uid="{9DD2154C-2B2E-4CEA-A7AB-B6EA6DB6EFF9}"/>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DAB04C86-E288-47E5-AF78-73DC2590CD8C}"/>
    <cellStyle name="Normal 9 2 3 3 5 2 3" xfId="12916" xr:uid="{D46E3329-F18C-4379-82CD-D680FB28E6DB}"/>
    <cellStyle name="Normal 9 2 3 3 5 3" xfId="6539" xr:uid="{00000000-0005-0000-0000-0000451F0000}"/>
    <cellStyle name="Normal 9 2 3 3 5 3 2" xfId="14989" xr:uid="{9B709A5F-BBEF-4AF7-A630-6517F98A39BD}"/>
    <cellStyle name="Normal 9 2 3 3 5 4" xfId="10771" xr:uid="{9AB3EB87-4D1E-444C-93F8-D2962BE8FE91}"/>
    <cellStyle name="Normal 9 2 3 3 6" xfId="2669" xr:uid="{00000000-0005-0000-0000-0000461F0000}"/>
    <cellStyle name="Normal 9 2 3 3 6 2" xfId="6952" xr:uid="{00000000-0005-0000-0000-0000471F0000}"/>
    <cellStyle name="Normal 9 2 3 3 6 2 2" xfId="15402" xr:uid="{8703BB08-AC0D-4D83-91C9-2C30330C7568}"/>
    <cellStyle name="Normal 9 2 3 3 6 3" xfId="11184" xr:uid="{B062F3CB-1150-4D9B-AE49-859FE45EAFFE}"/>
    <cellStyle name="Normal 9 2 3 3 7" xfId="4887" xr:uid="{00000000-0005-0000-0000-0000481F0000}"/>
    <cellStyle name="Normal 9 2 3 3 7 2" xfId="13337" xr:uid="{BF3D7D92-3DA0-45A8-B56C-F6B3EE6A87B1}"/>
    <cellStyle name="Normal 9 2 3 3 8" xfId="9119" xr:uid="{57E0B863-17D7-4D65-9932-F69D8C475D1C}"/>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99E5F78B-0ACA-43AE-A046-3226BD7A15DD}"/>
    <cellStyle name="Normal 9 2 3 4 2 3" xfId="11674" xr:uid="{CC8F6A4C-6B3A-4384-ABCC-6129CA08938D}"/>
    <cellStyle name="Normal 9 2 3 4 3" xfId="5297" xr:uid="{00000000-0005-0000-0000-00004C1F0000}"/>
    <cellStyle name="Normal 9 2 3 4 3 2" xfId="13747" xr:uid="{AFE5BB5D-2894-46D0-8C9E-23AA5C5D4D07}"/>
    <cellStyle name="Normal 9 2 3 4 4" xfId="9529" xr:uid="{BE28BDE1-08FA-4FED-86D1-204E8B84D1C8}"/>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780A9E29-8F9F-45F8-8B16-3F4ABE43F7C8}"/>
    <cellStyle name="Normal 9 2 3 5 2 3" xfId="12087" xr:uid="{843B4DEA-B9A0-4C1D-9D88-853A7425A53F}"/>
    <cellStyle name="Normal 9 2 3 5 3" xfId="5710" xr:uid="{00000000-0005-0000-0000-0000501F0000}"/>
    <cellStyle name="Normal 9 2 3 5 3 2" xfId="14160" xr:uid="{8059918E-5807-4358-9A97-960FC537ADF5}"/>
    <cellStyle name="Normal 9 2 3 5 4" xfId="9942" xr:uid="{9082DA69-5872-43F8-A061-B3F19D491A29}"/>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250BF365-093B-4508-80CC-38420D9C49F5}"/>
    <cellStyle name="Normal 9 2 3 6 2 3" xfId="12500" xr:uid="{F2D46E07-13FE-404D-B92A-1A328AAE73C0}"/>
    <cellStyle name="Normal 9 2 3 6 3" xfId="6123" xr:uid="{00000000-0005-0000-0000-0000541F0000}"/>
    <cellStyle name="Normal 9 2 3 6 3 2" xfId="14573" xr:uid="{5E9DBF04-3A39-4E23-8141-13A2FA66D951}"/>
    <cellStyle name="Normal 9 2 3 6 4" xfId="10355" xr:uid="{36BBC157-3155-440C-A137-CB19907C828B}"/>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CEB447B0-9E63-4921-AE55-77107A253086}"/>
    <cellStyle name="Normal 9 2 3 7 2 3" xfId="12913" xr:uid="{8FF5C114-F204-454C-A20D-30C450BB59BE}"/>
    <cellStyle name="Normal 9 2 3 7 3" xfId="6536" xr:uid="{00000000-0005-0000-0000-0000581F0000}"/>
    <cellStyle name="Normal 9 2 3 7 3 2" xfId="14986" xr:uid="{8035C996-BFE7-4E85-B310-0CEF8BCAC33C}"/>
    <cellStyle name="Normal 9 2 3 7 4" xfId="10768" xr:uid="{C14966E0-5D36-4F37-BEBD-6526F095DDAE}"/>
    <cellStyle name="Normal 9 2 3 8" xfId="2666" xr:uid="{00000000-0005-0000-0000-0000591F0000}"/>
    <cellStyle name="Normal 9 2 3 8 2" xfId="6949" xr:uid="{00000000-0005-0000-0000-00005A1F0000}"/>
    <cellStyle name="Normal 9 2 3 8 2 2" xfId="15399" xr:uid="{986EB146-C10B-4370-A027-80200C5DD98B}"/>
    <cellStyle name="Normal 9 2 3 8 3" xfId="11181" xr:uid="{EDF52D88-342C-4AE0-8B7F-CC2A5D4ED71B}"/>
    <cellStyle name="Normal 9 2 3 9" xfId="4884" xr:uid="{00000000-0005-0000-0000-00005B1F0000}"/>
    <cellStyle name="Normal 9 2 3 9 2" xfId="13334" xr:uid="{AC6DE356-5AFF-4D80-A6B8-2F4D72204FCB}"/>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C9C2CCCC-0A2F-48C7-9DF2-D9DB8EFF3473}"/>
    <cellStyle name="Normal 9 2 4 2 2 2 3" xfId="11679" xr:uid="{CBA23D8C-1E9D-48A5-B60C-D52071F85905}"/>
    <cellStyle name="Normal 9 2 4 2 2 3" xfId="5302" xr:uid="{00000000-0005-0000-0000-0000611F0000}"/>
    <cellStyle name="Normal 9 2 4 2 2 3 2" xfId="13752" xr:uid="{9AEC9980-3E21-4BD6-85F6-07921BCC08BA}"/>
    <cellStyle name="Normal 9 2 4 2 2 4" xfId="9534" xr:uid="{617C85E0-6C34-4408-AF22-BFA70F8EDD94}"/>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DDB14E72-6751-48E0-B7E9-44718383BCCD}"/>
    <cellStyle name="Normal 9 2 4 2 3 2 3" xfId="12092" xr:uid="{088F6A7C-CF67-4401-A78A-3CE820A24551}"/>
    <cellStyle name="Normal 9 2 4 2 3 3" xfId="5715" xr:uid="{00000000-0005-0000-0000-0000651F0000}"/>
    <cellStyle name="Normal 9 2 4 2 3 3 2" xfId="14165" xr:uid="{355FBA03-BB29-4216-8C60-1450F4FE02BB}"/>
    <cellStyle name="Normal 9 2 4 2 3 4" xfId="9947" xr:uid="{83921960-90A8-4431-AF0E-A8AFA2AEAABD}"/>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B9AED205-8C80-4662-9E0A-35B627749781}"/>
    <cellStyle name="Normal 9 2 4 2 4 2 3" xfId="12505" xr:uid="{C68F1656-7BA5-4A02-80E2-C8781E9DA53C}"/>
    <cellStyle name="Normal 9 2 4 2 4 3" xfId="6128" xr:uid="{00000000-0005-0000-0000-0000691F0000}"/>
    <cellStyle name="Normal 9 2 4 2 4 3 2" xfId="14578" xr:uid="{20831703-B6F0-467A-9CA5-D6130223941D}"/>
    <cellStyle name="Normal 9 2 4 2 4 4" xfId="10360" xr:uid="{392D7C7A-D625-4907-8B48-B5C05CFB605E}"/>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9218340D-505D-4CDF-86A7-8D14A7DF271B}"/>
    <cellStyle name="Normal 9 2 4 2 5 2 3" xfId="12918" xr:uid="{EF11A9F5-819C-448A-8E15-F3EB29AE3487}"/>
    <cellStyle name="Normal 9 2 4 2 5 3" xfId="6541" xr:uid="{00000000-0005-0000-0000-00006D1F0000}"/>
    <cellStyle name="Normal 9 2 4 2 5 3 2" xfId="14991" xr:uid="{2E82EF88-712E-4EC6-A237-130E995BD08F}"/>
    <cellStyle name="Normal 9 2 4 2 5 4" xfId="10773" xr:uid="{0E670596-AEBE-4FB6-92F5-2ACE3B3384F7}"/>
    <cellStyle name="Normal 9 2 4 2 6" xfId="2671" xr:uid="{00000000-0005-0000-0000-00006E1F0000}"/>
    <cellStyle name="Normal 9 2 4 2 6 2" xfId="6954" xr:uid="{00000000-0005-0000-0000-00006F1F0000}"/>
    <cellStyle name="Normal 9 2 4 2 6 2 2" xfId="15404" xr:uid="{E9EA7476-D3C1-4C76-ABDE-C836550BBBF1}"/>
    <cellStyle name="Normal 9 2 4 2 6 3" xfId="11186" xr:uid="{ABD7EA8C-DE7F-4B49-B9A3-DAFD6DC13D2D}"/>
    <cellStyle name="Normal 9 2 4 2 7" xfId="4889" xr:uid="{00000000-0005-0000-0000-0000701F0000}"/>
    <cellStyle name="Normal 9 2 4 2 7 2" xfId="13339" xr:uid="{8071CBD0-EA25-4E2D-B7ED-3CF02DC72053}"/>
    <cellStyle name="Normal 9 2 4 2 8" xfId="9121" xr:uid="{650FBF75-203B-4411-A33D-633E5F9FC3FC}"/>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0141F690-2910-425F-93F4-C18078B5B97C}"/>
    <cellStyle name="Normal 9 2 4 3 2 3" xfId="11678" xr:uid="{CC2669B6-5B7F-42F0-B85D-2F999849E1B0}"/>
    <cellStyle name="Normal 9 2 4 3 3" xfId="5301" xr:uid="{00000000-0005-0000-0000-0000741F0000}"/>
    <cellStyle name="Normal 9 2 4 3 3 2" xfId="13751" xr:uid="{878601CD-AAE6-4FA4-ADA4-B25A4344240D}"/>
    <cellStyle name="Normal 9 2 4 3 4" xfId="9533" xr:uid="{6C2583A7-2071-4AC8-9D61-9BBE971284A5}"/>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272F6AC1-492F-4E6A-A875-5640AABC3C73}"/>
    <cellStyle name="Normal 9 2 4 4 2 3" xfId="12091" xr:uid="{31ABE78E-218F-4FCF-A16A-775096EE64D7}"/>
    <cellStyle name="Normal 9 2 4 4 3" xfId="5714" xr:uid="{00000000-0005-0000-0000-0000781F0000}"/>
    <cellStyle name="Normal 9 2 4 4 3 2" xfId="14164" xr:uid="{74670B55-69EF-4C61-BD8D-C279FEBF358E}"/>
    <cellStyle name="Normal 9 2 4 4 4" xfId="9946" xr:uid="{78180ADD-2666-4AF0-BB5A-9C1FE5B9B3E4}"/>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91FEE688-0E00-4FCF-8EA3-590C2B01F349}"/>
    <cellStyle name="Normal 9 2 4 5 2 3" xfId="12504" xr:uid="{E5CE19D8-D342-4873-9157-4E2136DB65FC}"/>
    <cellStyle name="Normal 9 2 4 5 3" xfId="6127" xr:uid="{00000000-0005-0000-0000-00007C1F0000}"/>
    <cellStyle name="Normal 9 2 4 5 3 2" xfId="14577" xr:uid="{63929D04-130A-48B0-9A3F-E100DADD8F56}"/>
    <cellStyle name="Normal 9 2 4 5 4" xfId="10359" xr:uid="{2CC4CAE1-99E8-4CEF-816D-B1850F42F080}"/>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44DD7BC1-4114-453E-8248-92B9F4008CCC}"/>
    <cellStyle name="Normal 9 2 4 6 2 3" xfId="12917" xr:uid="{60666EF8-C47B-4706-87F1-4090E35BA4B1}"/>
    <cellStyle name="Normal 9 2 4 6 3" xfId="6540" xr:uid="{00000000-0005-0000-0000-0000801F0000}"/>
    <cellStyle name="Normal 9 2 4 6 3 2" xfId="14990" xr:uid="{50133D1C-2F6C-45E2-BF22-C36D982EE119}"/>
    <cellStyle name="Normal 9 2 4 6 4" xfId="10772" xr:uid="{EB04EF96-AFA3-4087-BC78-A186B05054AC}"/>
    <cellStyle name="Normal 9 2 4 7" xfId="2670" xr:uid="{00000000-0005-0000-0000-0000811F0000}"/>
    <cellStyle name="Normal 9 2 4 7 2" xfId="6953" xr:uid="{00000000-0005-0000-0000-0000821F0000}"/>
    <cellStyle name="Normal 9 2 4 7 2 2" xfId="15403" xr:uid="{25F7CADB-2014-4E53-935C-63B9B8AF6C92}"/>
    <cellStyle name="Normal 9 2 4 7 3" xfId="11185" xr:uid="{F36CB69B-D5F8-4EAA-9DDE-4CB4FFFE33C5}"/>
    <cellStyle name="Normal 9 2 4 8" xfId="4888" xr:uid="{00000000-0005-0000-0000-0000831F0000}"/>
    <cellStyle name="Normal 9 2 4 8 2" xfId="13338" xr:uid="{C148BFC3-4924-4615-AAC6-98EDCAD65A37}"/>
    <cellStyle name="Normal 9 2 4 9" xfId="9120" xr:uid="{5BA68B9B-2C2B-45D2-8F89-7B05A502C544}"/>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4F34531B-E2DD-4E48-8205-2CD30F84C6D7}"/>
    <cellStyle name="Normal 9 2 5 2 2 3" xfId="11680" xr:uid="{5B1976EC-7A92-4822-9507-8CFC5BA68F1B}"/>
    <cellStyle name="Normal 9 2 5 2 3" xfId="5303" xr:uid="{00000000-0005-0000-0000-0000881F0000}"/>
    <cellStyle name="Normal 9 2 5 2 3 2" xfId="13753" xr:uid="{45B5CEF0-5F6A-4202-817C-1CFFBFB68D6F}"/>
    <cellStyle name="Normal 9 2 5 2 4" xfId="9535" xr:uid="{31D34810-41B2-4DC7-914C-13B9660C564E}"/>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0BF20FA3-363E-4913-A9F6-144427B906DF}"/>
    <cellStyle name="Normal 9 2 5 3 2 3" xfId="12093" xr:uid="{79857067-5E13-4F12-AAB1-5BAD0747108E}"/>
    <cellStyle name="Normal 9 2 5 3 3" xfId="5716" xr:uid="{00000000-0005-0000-0000-00008C1F0000}"/>
    <cellStyle name="Normal 9 2 5 3 3 2" xfId="14166" xr:uid="{79D873A1-7CC6-458B-9560-5A8C4FB3C44E}"/>
    <cellStyle name="Normal 9 2 5 3 4" xfId="9948" xr:uid="{7F412194-5042-4827-9ECB-AE3DED564BB8}"/>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0DB95087-0A7B-43C4-B0C3-0401084ECF4E}"/>
    <cellStyle name="Normal 9 2 5 4 2 3" xfId="12506" xr:uid="{B0266F78-419D-4756-848F-9EAF733616A9}"/>
    <cellStyle name="Normal 9 2 5 4 3" xfId="6129" xr:uid="{00000000-0005-0000-0000-0000901F0000}"/>
    <cellStyle name="Normal 9 2 5 4 3 2" xfId="14579" xr:uid="{377CE63F-264B-43A1-9398-039D435FC71B}"/>
    <cellStyle name="Normal 9 2 5 4 4" xfId="10361" xr:uid="{36870630-8C37-4552-AA49-D460F38848C4}"/>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953C606D-FA31-41FE-90E9-AEC93F7F2E53}"/>
    <cellStyle name="Normal 9 2 5 5 2 3" xfId="12919" xr:uid="{8E1EECA3-9C86-4634-8BFD-F25EAFCE4156}"/>
    <cellStyle name="Normal 9 2 5 5 3" xfId="6542" xr:uid="{00000000-0005-0000-0000-0000941F0000}"/>
    <cellStyle name="Normal 9 2 5 5 3 2" xfId="14992" xr:uid="{7B71F080-F769-40A2-9053-0E70DB864A80}"/>
    <cellStyle name="Normal 9 2 5 5 4" xfId="10774" xr:uid="{9EFF0CAF-5154-4314-9861-EB4A1C84EBA5}"/>
    <cellStyle name="Normal 9 2 5 6" xfId="2672" xr:uid="{00000000-0005-0000-0000-0000951F0000}"/>
    <cellStyle name="Normal 9 2 5 6 2" xfId="6955" xr:uid="{00000000-0005-0000-0000-0000961F0000}"/>
    <cellStyle name="Normal 9 2 5 6 2 2" xfId="15405" xr:uid="{9F97BD97-AC1F-4D21-8BFF-CA6E0746187E}"/>
    <cellStyle name="Normal 9 2 5 6 3" xfId="11187" xr:uid="{BFB4A1A8-1458-4714-AD06-82B658A5BEB2}"/>
    <cellStyle name="Normal 9 2 5 7" xfId="4890" xr:uid="{00000000-0005-0000-0000-0000971F0000}"/>
    <cellStyle name="Normal 9 2 5 7 2" xfId="13340" xr:uid="{E5CC4E10-F34E-4D42-9E08-B63BA972F268}"/>
    <cellStyle name="Normal 9 2 5 8" xfId="9122" xr:uid="{33976342-1EF2-4D49-8F97-853BCD004E3B}"/>
    <cellStyle name="Normal 9 2 6" xfId="978" xr:uid="{00000000-0005-0000-0000-0000981F0000}"/>
    <cellStyle name="Normal 9 2 6 2" xfId="3211" xr:uid="{00000000-0005-0000-0000-0000991F0000}"/>
    <cellStyle name="Normal 9 2 6 2 2" xfId="7433" xr:uid="{00000000-0005-0000-0000-00009A1F0000}"/>
    <cellStyle name="Normal 9 2 6 2 2 2" xfId="15883" xr:uid="{175D556C-2A16-4B73-91FD-814EFD329148}"/>
    <cellStyle name="Normal 9 2 6 2 3" xfId="11665" xr:uid="{AF561776-725B-4FF0-8912-C79EC7A3DAFF}"/>
    <cellStyle name="Normal 9 2 6 3" xfId="5288" xr:uid="{00000000-0005-0000-0000-00009B1F0000}"/>
    <cellStyle name="Normal 9 2 6 3 2" xfId="13738" xr:uid="{87A7EB72-0131-4B2B-8E9A-6EABAE7F24AF}"/>
    <cellStyle name="Normal 9 2 6 4" xfId="9520" xr:uid="{9125BF64-B84C-4242-AD30-C824F5DCC8C8}"/>
    <cellStyle name="Normal 9 2 7" xfId="1394" xr:uid="{00000000-0005-0000-0000-00009C1F0000}"/>
    <cellStyle name="Normal 9 2 7 2" xfId="3624" xr:uid="{00000000-0005-0000-0000-00009D1F0000}"/>
    <cellStyle name="Normal 9 2 7 2 2" xfId="7846" xr:uid="{00000000-0005-0000-0000-00009E1F0000}"/>
    <cellStyle name="Normal 9 2 7 2 2 2" xfId="16296" xr:uid="{7D7A4E58-53D2-4B84-BF5E-42191C2BF78B}"/>
    <cellStyle name="Normal 9 2 7 2 3" xfId="12078" xr:uid="{8B4FEB30-DEC0-431F-B848-EDC705BDB0B5}"/>
    <cellStyle name="Normal 9 2 7 3" xfId="5701" xr:uid="{00000000-0005-0000-0000-00009F1F0000}"/>
    <cellStyle name="Normal 9 2 7 3 2" xfId="14151" xr:uid="{92B9C08E-5D53-40B6-B7B9-D76708BE3A0F}"/>
    <cellStyle name="Normal 9 2 7 4" xfId="9933" xr:uid="{80FDA0DD-3197-487B-8F3C-E01CA68C20F4}"/>
    <cellStyle name="Normal 9 2 8" xfId="1807" xr:uid="{00000000-0005-0000-0000-0000A01F0000}"/>
    <cellStyle name="Normal 9 2 8 2" xfId="4037" xr:uid="{00000000-0005-0000-0000-0000A11F0000}"/>
    <cellStyle name="Normal 9 2 8 2 2" xfId="8259" xr:uid="{00000000-0005-0000-0000-0000A21F0000}"/>
    <cellStyle name="Normal 9 2 8 2 2 2" xfId="16709" xr:uid="{E108B8ED-B88B-4CF1-A66F-2695F9072BF0}"/>
    <cellStyle name="Normal 9 2 8 2 3" xfId="12491" xr:uid="{D6FED68D-6EA9-42E5-A1BD-0C4100D31AC8}"/>
    <cellStyle name="Normal 9 2 8 3" xfId="6114" xr:uid="{00000000-0005-0000-0000-0000A31F0000}"/>
    <cellStyle name="Normal 9 2 8 3 2" xfId="14564" xr:uid="{92DE3246-CEEF-4E8A-A7BA-244A7287CBA8}"/>
    <cellStyle name="Normal 9 2 8 4" xfId="10346" xr:uid="{8AB6A8F3-EA18-4CCF-98CF-4971591EF1D9}"/>
    <cellStyle name="Normal 9 2 9" xfId="2221" xr:uid="{00000000-0005-0000-0000-0000A41F0000}"/>
    <cellStyle name="Normal 9 2 9 2" xfId="4450" xr:uid="{00000000-0005-0000-0000-0000A51F0000}"/>
    <cellStyle name="Normal 9 2 9 2 2" xfId="8672" xr:uid="{00000000-0005-0000-0000-0000A61F0000}"/>
    <cellStyle name="Normal 9 2 9 2 2 2" xfId="17122" xr:uid="{A614B34A-724D-4F69-89CF-537F2D383E7F}"/>
    <cellStyle name="Normal 9 2 9 2 3" xfId="12904" xr:uid="{9074B994-FE46-4201-8F7E-7C3AE1E33610}"/>
    <cellStyle name="Normal 9 2 9 3" xfId="6527" xr:uid="{00000000-0005-0000-0000-0000A71F0000}"/>
    <cellStyle name="Normal 9 2 9 3 2" xfId="14977" xr:uid="{798F09AE-0FC1-4A62-8AE6-602D530365CD}"/>
    <cellStyle name="Normal 9 2 9 4" xfId="10759" xr:uid="{F47FFDA3-E220-4F4E-8D0A-1415C68D37CF}"/>
    <cellStyle name="Normal 9 3" xfId="527" xr:uid="{00000000-0005-0000-0000-0000A81F0000}"/>
    <cellStyle name="Normal 9 3 10" xfId="4891" xr:uid="{00000000-0005-0000-0000-0000A91F0000}"/>
    <cellStyle name="Normal 9 3 10 2" xfId="13341" xr:uid="{D86B141B-B3C2-4D7D-B4C7-3E6CD944010F}"/>
    <cellStyle name="Normal 9 3 11" xfId="9123" xr:uid="{EC525928-1B88-430A-AD38-537C4988A2F9}"/>
    <cellStyle name="Normal 9 3 2" xfId="528" xr:uid="{00000000-0005-0000-0000-0000AA1F0000}"/>
    <cellStyle name="Normal 9 3 2 10" xfId="9124" xr:uid="{C21C0FB0-6969-488E-BFD3-8FE76BFA1BC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CC2BC179-7184-4B5A-9921-F3990627E366}"/>
    <cellStyle name="Normal 9 3 2 2 2 2 2 3" xfId="11684" xr:uid="{A9960BD9-6B68-4C8D-9575-15D63BA296FB}"/>
    <cellStyle name="Normal 9 3 2 2 2 2 3" xfId="5307" xr:uid="{00000000-0005-0000-0000-0000B01F0000}"/>
    <cellStyle name="Normal 9 3 2 2 2 2 3 2" xfId="13757" xr:uid="{D0877071-73ED-4937-8F73-E206EF7A39D7}"/>
    <cellStyle name="Normal 9 3 2 2 2 2 4" xfId="9539" xr:uid="{72823D31-D51D-4692-AC8B-AB84904E7688}"/>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1E0C2687-B25D-497A-A729-7CAAFC9406BF}"/>
    <cellStyle name="Normal 9 3 2 2 2 3 2 3" xfId="12097" xr:uid="{7D2E9984-80F4-445F-8E97-F0321E0DDD63}"/>
    <cellStyle name="Normal 9 3 2 2 2 3 3" xfId="5720" xr:uid="{00000000-0005-0000-0000-0000B41F0000}"/>
    <cellStyle name="Normal 9 3 2 2 2 3 3 2" xfId="14170" xr:uid="{AC089970-3FB5-4719-A4DC-7BD394C7AC8D}"/>
    <cellStyle name="Normal 9 3 2 2 2 3 4" xfId="9952" xr:uid="{0493E0C6-4DBA-4EBF-8BA8-A82F282BF909}"/>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59B9A883-6128-44BE-BAD8-DE303FE615D7}"/>
    <cellStyle name="Normal 9 3 2 2 2 4 2 3" xfId="12510" xr:uid="{4C051F7E-06AA-404D-92D3-CFABCB149245}"/>
    <cellStyle name="Normal 9 3 2 2 2 4 3" xfId="6133" xr:uid="{00000000-0005-0000-0000-0000B81F0000}"/>
    <cellStyle name="Normal 9 3 2 2 2 4 3 2" xfId="14583" xr:uid="{6792A012-8AA2-44E6-9131-CBA1947AA7E7}"/>
    <cellStyle name="Normal 9 3 2 2 2 4 4" xfId="10365" xr:uid="{ACF8E10D-5A67-49C8-AB29-A1AAA791827C}"/>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60790053-1101-4445-B066-9DFCF32E95E0}"/>
    <cellStyle name="Normal 9 3 2 2 2 5 2 3" xfId="12923" xr:uid="{529BD34F-242B-4A7E-ACAD-21567C0BFEA3}"/>
    <cellStyle name="Normal 9 3 2 2 2 5 3" xfId="6546" xr:uid="{00000000-0005-0000-0000-0000BC1F0000}"/>
    <cellStyle name="Normal 9 3 2 2 2 5 3 2" xfId="14996" xr:uid="{83673838-1D26-47C7-8D2C-05661A05C1CE}"/>
    <cellStyle name="Normal 9 3 2 2 2 5 4" xfId="10778" xr:uid="{394ADF68-53F3-4857-8B46-3FF9FC7AD210}"/>
    <cellStyle name="Normal 9 3 2 2 2 6" xfId="2676" xr:uid="{00000000-0005-0000-0000-0000BD1F0000}"/>
    <cellStyle name="Normal 9 3 2 2 2 6 2" xfId="6959" xr:uid="{00000000-0005-0000-0000-0000BE1F0000}"/>
    <cellStyle name="Normal 9 3 2 2 2 6 2 2" xfId="15409" xr:uid="{D40C01AA-E810-432B-815C-593950DEAC21}"/>
    <cellStyle name="Normal 9 3 2 2 2 6 3" xfId="11191" xr:uid="{EA2F3CEB-B179-4120-AC12-56A75EAD5CE4}"/>
    <cellStyle name="Normal 9 3 2 2 2 7" xfId="4894" xr:uid="{00000000-0005-0000-0000-0000BF1F0000}"/>
    <cellStyle name="Normal 9 3 2 2 2 7 2" xfId="13344" xr:uid="{66C66D2A-46AE-44FF-8477-2A7999E5AF21}"/>
    <cellStyle name="Normal 9 3 2 2 2 8" xfId="9126" xr:uid="{218FA2D4-C7E7-4C4D-9C43-68139D381D3D}"/>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D66EF1DB-D43E-4D94-AA3A-51B0A8C978E7}"/>
    <cellStyle name="Normal 9 3 2 2 3 2 3" xfId="11683" xr:uid="{79651D76-6CE2-4206-8040-4B8DD38F7298}"/>
    <cellStyle name="Normal 9 3 2 2 3 3" xfId="5306" xr:uid="{00000000-0005-0000-0000-0000C31F0000}"/>
    <cellStyle name="Normal 9 3 2 2 3 3 2" xfId="13756" xr:uid="{8B51EB9D-6648-4D3A-80B2-06F01CB5E236}"/>
    <cellStyle name="Normal 9 3 2 2 3 4" xfId="9538" xr:uid="{CD7CFB9C-CAB9-44AF-9461-9C1BECCB4FF6}"/>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85B49449-A31B-4EDF-B344-75127B2B256B}"/>
    <cellStyle name="Normal 9 3 2 2 4 2 3" xfId="12096" xr:uid="{4AC68ADB-2327-49B5-A5B3-EF676397D478}"/>
    <cellStyle name="Normal 9 3 2 2 4 3" xfId="5719" xr:uid="{00000000-0005-0000-0000-0000C71F0000}"/>
    <cellStyle name="Normal 9 3 2 2 4 3 2" xfId="14169" xr:uid="{280F4465-06F8-4B76-9B74-2EB9E7FDFECF}"/>
    <cellStyle name="Normal 9 3 2 2 4 4" xfId="9951" xr:uid="{377669F2-6738-4951-A81F-BB86CA74CA27}"/>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A6E88506-8CE3-4A47-B1C4-220CEA7DD540}"/>
    <cellStyle name="Normal 9 3 2 2 5 2 3" xfId="12509" xr:uid="{2224EF75-4861-4971-A2C8-639B6AA9E458}"/>
    <cellStyle name="Normal 9 3 2 2 5 3" xfId="6132" xr:uid="{00000000-0005-0000-0000-0000CB1F0000}"/>
    <cellStyle name="Normal 9 3 2 2 5 3 2" xfId="14582" xr:uid="{8DC9BDAD-BBCC-4001-90EC-BFCEE192A206}"/>
    <cellStyle name="Normal 9 3 2 2 5 4" xfId="10364" xr:uid="{ED4C1C85-7FA3-4604-83A1-8B86CA7E3AD1}"/>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27DF0A75-AD73-4A5F-BDA5-7C37A03E4940}"/>
    <cellStyle name="Normal 9 3 2 2 6 2 3" xfId="12922" xr:uid="{AE5B728A-9E31-4A29-AC9D-72EB5517C2F1}"/>
    <cellStyle name="Normal 9 3 2 2 6 3" xfId="6545" xr:uid="{00000000-0005-0000-0000-0000CF1F0000}"/>
    <cellStyle name="Normal 9 3 2 2 6 3 2" xfId="14995" xr:uid="{EDCBB686-B5CB-43E5-B5CA-51A3808BACDC}"/>
    <cellStyle name="Normal 9 3 2 2 6 4" xfId="10777" xr:uid="{0348430B-4A8F-40D4-B5B8-1929BEA3A79D}"/>
    <cellStyle name="Normal 9 3 2 2 7" xfId="2675" xr:uid="{00000000-0005-0000-0000-0000D01F0000}"/>
    <cellStyle name="Normal 9 3 2 2 7 2" xfId="6958" xr:uid="{00000000-0005-0000-0000-0000D11F0000}"/>
    <cellStyle name="Normal 9 3 2 2 7 2 2" xfId="15408" xr:uid="{A8F564CF-51AF-40F2-A758-A988523779DC}"/>
    <cellStyle name="Normal 9 3 2 2 7 3" xfId="11190" xr:uid="{73CCE07F-951F-4CD5-AB56-D13E6FA0C84D}"/>
    <cellStyle name="Normal 9 3 2 2 8" xfId="4893" xr:uid="{00000000-0005-0000-0000-0000D21F0000}"/>
    <cellStyle name="Normal 9 3 2 2 8 2" xfId="13343" xr:uid="{4B9F087A-DE3B-419E-A86A-73F53AD60EF5}"/>
    <cellStyle name="Normal 9 3 2 2 9" xfId="9125" xr:uid="{18C9F0DE-7D1A-4A54-BC24-F6DDF19F6334}"/>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8A6A830E-391F-4282-A491-BF83E6CDE040}"/>
    <cellStyle name="Normal 9 3 2 3 2 2 3" xfId="11685" xr:uid="{2D71B60E-159F-4182-A470-15399A47EDD5}"/>
    <cellStyle name="Normal 9 3 2 3 2 3" xfId="5308" xr:uid="{00000000-0005-0000-0000-0000D71F0000}"/>
    <cellStyle name="Normal 9 3 2 3 2 3 2" xfId="13758" xr:uid="{EBBDA979-9E5C-4EFD-8CE2-5C6CDA452B4B}"/>
    <cellStyle name="Normal 9 3 2 3 2 4" xfId="9540" xr:uid="{EC11DF1F-858F-43BE-AD1A-667206F26066}"/>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3175B412-5C1C-4082-8378-6BF1322B80B7}"/>
    <cellStyle name="Normal 9 3 2 3 3 2 3" xfId="12098" xr:uid="{673CC94E-C98E-49D9-ADC6-E16433D37624}"/>
    <cellStyle name="Normal 9 3 2 3 3 3" xfId="5721" xr:uid="{00000000-0005-0000-0000-0000DB1F0000}"/>
    <cellStyle name="Normal 9 3 2 3 3 3 2" xfId="14171" xr:uid="{9D7A7232-5F3A-4F0E-8930-875C37D09A88}"/>
    <cellStyle name="Normal 9 3 2 3 3 4" xfId="9953" xr:uid="{3FE562E5-5ADE-4E16-B7B9-6801CF89C3A9}"/>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1C187690-2D23-4C9E-B1D9-0B401F8D14C1}"/>
    <cellStyle name="Normal 9 3 2 3 4 2 3" xfId="12511" xr:uid="{0076A3EE-C8A6-4CB9-80F2-ECAC5FDFDFFC}"/>
    <cellStyle name="Normal 9 3 2 3 4 3" xfId="6134" xr:uid="{00000000-0005-0000-0000-0000DF1F0000}"/>
    <cellStyle name="Normal 9 3 2 3 4 3 2" xfId="14584" xr:uid="{7B56C596-D359-44E6-9E6C-425E9D61FE7C}"/>
    <cellStyle name="Normal 9 3 2 3 4 4" xfId="10366" xr:uid="{19369F6C-141D-4384-AB36-D47DDBFF3283}"/>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99819AC2-979B-48BB-A984-9B2EBF0C473A}"/>
    <cellStyle name="Normal 9 3 2 3 5 2 3" xfId="12924" xr:uid="{970FA7F7-75FE-482B-9BDC-CC7063C41741}"/>
    <cellStyle name="Normal 9 3 2 3 5 3" xfId="6547" xr:uid="{00000000-0005-0000-0000-0000E31F0000}"/>
    <cellStyle name="Normal 9 3 2 3 5 3 2" xfId="14997" xr:uid="{3C2DCF55-5CFE-4ACF-AB5B-EB09140BD326}"/>
    <cellStyle name="Normal 9 3 2 3 5 4" xfId="10779" xr:uid="{1FAAAFAF-0A11-4163-B3C1-3EB8CA9D5C27}"/>
    <cellStyle name="Normal 9 3 2 3 6" xfId="2677" xr:uid="{00000000-0005-0000-0000-0000E41F0000}"/>
    <cellStyle name="Normal 9 3 2 3 6 2" xfId="6960" xr:uid="{00000000-0005-0000-0000-0000E51F0000}"/>
    <cellStyle name="Normal 9 3 2 3 6 2 2" xfId="15410" xr:uid="{589B4D1C-F899-406A-80E9-39A2A39C65B3}"/>
    <cellStyle name="Normal 9 3 2 3 6 3" xfId="11192" xr:uid="{8BAB16DD-9B6E-4C34-B286-3FD12885BE3F}"/>
    <cellStyle name="Normal 9 3 2 3 7" xfId="4895" xr:uid="{00000000-0005-0000-0000-0000E61F0000}"/>
    <cellStyle name="Normal 9 3 2 3 7 2" xfId="13345" xr:uid="{B550286F-A21A-4275-B724-C683D9BFFF2D}"/>
    <cellStyle name="Normal 9 3 2 3 8" xfId="9127" xr:uid="{460A41CE-2D17-4A79-A965-E0C6CC0F42F3}"/>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CCA5A0CC-90AD-42CB-A394-C645316E0ED7}"/>
    <cellStyle name="Normal 9 3 2 4 2 3" xfId="11682" xr:uid="{261E8A44-535A-4CD9-991A-A336732E618E}"/>
    <cellStyle name="Normal 9 3 2 4 3" xfId="5305" xr:uid="{00000000-0005-0000-0000-0000EA1F0000}"/>
    <cellStyle name="Normal 9 3 2 4 3 2" xfId="13755" xr:uid="{767676B2-6AA0-4698-A59D-E0632E2C1DF3}"/>
    <cellStyle name="Normal 9 3 2 4 4" xfId="9537" xr:uid="{A3CF9C16-C1A8-499D-B3C5-DA523DA25F21}"/>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8ECC3657-758F-4F3D-ADB8-C7CC59421BCA}"/>
    <cellStyle name="Normal 9 3 2 5 2 3" xfId="12095" xr:uid="{7A34A0A1-E614-4BB3-82F1-1B2B4A3DBB83}"/>
    <cellStyle name="Normal 9 3 2 5 3" xfId="5718" xr:uid="{00000000-0005-0000-0000-0000EE1F0000}"/>
    <cellStyle name="Normal 9 3 2 5 3 2" xfId="14168" xr:uid="{A4290EE5-443D-46C3-B581-F067A7879050}"/>
    <cellStyle name="Normal 9 3 2 5 4" xfId="9950" xr:uid="{4EFDA09F-8915-42B6-8B15-CA9E4D658271}"/>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AAF1FE21-3F85-42E4-B246-A4AB69303452}"/>
    <cellStyle name="Normal 9 3 2 6 2 3" xfId="12508" xr:uid="{A219C841-FE35-43A1-8AA9-02CDE596C966}"/>
    <cellStyle name="Normal 9 3 2 6 3" xfId="6131" xr:uid="{00000000-0005-0000-0000-0000F21F0000}"/>
    <cellStyle name="Normal 9 3 2 6 3 2" xfId="14581" xr:uid="{D245C691-D994-4FA0-B98A-C68DDD4DAF1A}"/>
    <cellStyle name="Normal 9 3 2 6 4" xfId="10363" xr:uid="{F39A48D2-93C2-4A82-A539-B4439E3B74CA}"/>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0200F5AE-2437-4644-9471-DF590532A55C}"/>
    <cellStyle name="Normal 9 3 2 7 2 3" xfId="12921" xr:uid="{E1C1B7CC-FDD6-450C-9F40-D5B4F3923080}"/>
    <cellStyle name="Normal 9 3 2 7 3" xfId="6544" xr:uid="{00000000-0005-0000-0000-0000F61F0000}"/>
    <cellStyle name="Normal 9 3 2 7 3 2" xfId="14994" xr:uid="{804CCD85-6F95-435B-876C-ADA1FE2C9BCF}"/>
    <cellStyle name="Normal 9 3 2 7 4" xfId="10776" xr:uid="{D3B6469D-788F-4733-8595-7F4DA1F6B890}"/>
    <cellStyle name="Normal 9 3 2 8" xfId="2674" xr:uid="{00000000-0005-0000-0000-0000F71F0000}"/>
    <cellStyle name="Normal 9 3 2 8 2" xfId="6957" xr:uid="{00000000-0005-0000-0000-0000F81F0000}"/>
    <cellStyle name="Normal 9 3 2 8 2 2" xfId="15407" xr:uid="{CB35D968-E4D2-4B4E-8F5E-008FB8559BA7}"/>
    <cellStyle name="Normal 9 3 2 8 3" xfId="11189" xr:uid="{7E0E6FA9-2DBA-4FE5-AC45-8F7954453DFD}"/>
    <cellStyle name="Normal 9 3 2 9" xfId="4892" xr:uid="{00000000-0005-0000-0000-0000F91F0000}"/>
    <cellStyle name="Normal 9 3 2 9 2" xfId="13342" xr:uid="{51FD5408-3E75-4D95-96C4-460C65D8E42C}"/>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C248C8E5-22C2-4A71-BB68-108F8F8D7708}"/>
    <cellStyle name="Normal 9 3 3 2 2 2 3" xfId="11687" xr:uid="{912B8498-47E5-4072-B7DD-C87025258B38}"/>
    <cellStyle name="Normal 9 3 3 2 2 3" xfId="5310" xr:uid="{00000000-0005-0000-0000-0000FF1F0000}"/>
    <cellStyle name="Normal 9 3 3 2 2 3 2" xfId="13760" xr:uid="{7F5CCD0C-E06D-462C-AA8F-DF88700FDAE1}"/>
    <cellStyle name="Normal 9 3 3 2 2 4" xfId="9542" xr:uid="{A66651E9-3993-44C7-97ED-C17B3F373607}"/>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1B8BAEFB-C847-4964-8A0E-5D3A0CE2836D}"/>
    <cellStyle name="Normal 9 3 3 2 3 2 3" xfId="12100" xr:uid="{2865B347-0296-451E-8E46-0B51DA9DFBAC}"/>
    <cellStyle name="Normal 9 3 3 2 3 3" xfId="5723" xr:uid="{00000000-0005-0000-0000-000003200000}"/>
    <cellStyle name="Normal 9 3 3 2 3 3 2" xfId="14173" xr:uid="{AB33F650-FB06-47DA-909C-875FBC0CF751}"/>
    <cellStyle name="Normal 9 3 3 2 3 4" xfId="9955" xr:uid="{C408221A-E5AB-41BD-9352-FF284C809961}"/>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6F6D1E35-6D7D-4649-A306-1E722DB85D16}"/>
    <cellStyle name="Normal 9 3 3 2 4 2 3" xfId="12513" xr:uid="{72C0A5F5-1768-40D4-A96D-F18B61AC184A}"/>
    <cellStyle name="Normal 9 3 3 2 4 3" xfId="6136" xr:uid="{00000000-0005-0000-0000-000007200000}"/>
    <cellStyle name="Normal 9 3 3 2 4 3 2" xfId="14586" xr:uid="{24060AD9-B189-4FE7-A18A-3247AA97FBE7}"/>
    <cellStyle name="Normal 9 3 3 2 4 4" xfId="10368" xr:uid="{C88E4B8A-71DE-4C3D-9431-A805D41CAC95}"/>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F222B552-F941-46C7-AA07-1EBAEEAB9005}"/>
    <cellStyle name="Normal 9 3 3 2 5 2 3" xfId="12926" xr:uid="{2B4EEE22-D9FC-4997-AED0-9941736F2FE3}"/>
    <cellStyle name="Normal 9 3 3 2 5 3" xfId="6549" xr:uid="{00000000-0005-0000-0000-00000B200000}"/>
    <cellStyle name="Normal 9 3 3 2 5 3 2" xfId="14999" xr:uid="{5360346B-2383-4974-9309-D752FB9431F0}"/>
    <cellStyle name="Normal 9 3 3 2 5 4" xfId="10781" xr:uid="{A034A3C5-0FA6-4A9F-9F07-89C75BC5F56E}"/>
    <cellStyle name="Normal 9 3 3 2 6" xfId="2679" xr:uid="{00000000-0005-0000-0000-00000C200000}"/>
    <cellStyle name="Normal 9 3 3 2 6 2" xfId="6962" xr:uid="{00000000-0005-0000-0000-00000D200000}"/>
    <cellStyle name="Normal 9 3 3 2 6 2 2" xfId="15412" xr:uid="{C585BB48-ADF3-418B-8899-25764251C550}"/>
    <cellStyle name="Normal 9 3 3 2 6 3" xfId="11194" xr:uid="{D0F69DDF-4EF6-4A20-84FC-6EAD176D7D75}"/>
    <cellStyle name="Normal 9 3 3 2 7" xfId="4897" xr:uid="{00000000-0005-0000-0000-00000E200000}"/>
    <cellStyle name="Normal 9 3 3 2 7 2" xfId="13347" xr:uid="{416BCCC4-21CC-41F3-884A-8317C77A206A}"/>
    <cellStyle name="Normal 9 3 3 2 8" xfId="9129" xr:uid="{7412805D-6DBA-48E9-BFCA-5A654B05A547}"/>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29320D6A-4550-47D2-92E1-093013C1C0BB}"/>
    <cellStyle name="Normal 9 3 3 3 2 3" xfId="11686" xr:uid="{49345BFD-62A0-4BB3-A3BC-1ED8D7D0BF92}"/>
    <cellStyle name="Normal 9 3 3 3 3" xfId="5309" xr:uid="{00000000-0005-0000-0000-000012200000}"/>
    <cellStyle name="Normal 9 3 3 3 3 2" xfId="13759" xr:uid="{FB9FB6FD-0F9D-4ABA-A03D-3D825E7FACA3}"/>
    <cellStyle name="Normal 9 3 3 3 4" xfId="9541" xr:uid="{F4F660FE-A611-4523-8535-5F9EACCF95A0}"/>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1C2023B4-8898-451C-AC65-BAD85D0C9522}"/>
    <cellStyle name="Normal 9 3 3 4 2 3" xfId="12099" xr:uid="{AC2E33D0-0F76-4C0E-A2AD-8E43C5BA113A}"/>
    <cellStyle name="Normal 9 3 3 4 3" xfId="5722" xr:uid="{00000000-0005-0000-0000-000016200000}"/>
    <cellStyle name="Normal 9 3 3 4 3 2" xfId="14172" xr:uid="{398CE729-5071-4E58-93D7-03CFA43DF4F2}"/>
    <cellStyle name="Normal 9 3 3 4 4" xfId="9954" xr:uid="{08B2CF7C-D447-460D-9EAB-E7A83BC59E8B}"/>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4E18617A-7016-4730-8620-797D6AB7CB73}"/>
    <cellStyle name="Normal 9 3 3 5 2 3" xfId="12512" xr:uid="{254C28DE-5FBE-4513-9AF5-252F272D801D}"/>
    <cellStyle name="Normal 9 3 3 5 3" xfId="6135" xr:uid="{00000000-0005-0000-0000-00001A200000}"/>
    <cellStyle name="Normal 9 3 3 5 3 2" xfId="14585" xr:uid="{A8B96FE1-7888-4568-B0BB-D4CF1B3A3DA9}"/>
    <cellStyle name="Normal 9 3 3 5 4" xfId="10367" xr:uid="{788EC9BF-05DC-4CDA-B5D8-121EAF6CF5B8}"/>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AD5B4054-47BC-48DD-8EDA-273940B8F2EB}"/>
    <cellStyle name="Normal 9 3 3 6 2 3" xfId="12925" xr:uid="{F3084F8E-4EF9-43D0-9603-C6420634F837}"/>
    <cellStyle name="Normal 9 3 3 6 3" xfId="6548" xr:uid="{00000000-0005-0000-0000-00001E200000}"/>
    <cellStyle name="Normal 9 3 3 6 3 2" xfId="14998" xr:uid="{8C5A8DDD-38AC-4E12-A87E-57A1E7D829C0}"/>
    <cellStyle name="Normal 9 3 3 6 4" xfId="10780" xr:uid="{5DBF09BE-359A-4B0A-97CC-ACD2D6B9B533}"/>
    <cellStyle name="Normal 9 3 3 7" xfId="2678" xr:uid="{00000000-0005-0000-0000-00001F200000}"/>
    <cellStyle name="Normal 9 3 3 7 2" xfId="6961" xr:uid="{00000000-0005-0000-0000-000020200000}"/>
    <cellStyle name="Normal 9 3 3 7 2 2" xfId="15411" xr:uid="{6B4B4D85-B472-41FF-BC68-5504B6469946}"/>
    <cellStyle name="Normal 9 3 3 7 3" xfId="11193" xr:uid="{C0D5A992-A4DD-4619-BCB0-2FFE7C0E2480}"/>
    <cellStyle name="Normal 9 3 3 8" xfId="4896" xr:uid="{00000000-0005-0000-0000-000021200000}"/>
    <cellStyle name="Normal 9 3 3 8 2" xfId="13346" xr:uid="{FAC9DC9F-4AAE-49F8-9ED3-E019E253539C}"/>
    <cellStyle name="Normal 9 3 3 9" xfId="9128" xr:uid="{DA88FFDF-A1C5-40C5-A7AC-044382CABEB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FFCC5C20-D5F2-49F3-8044-29574443A25E}"/>
    <cellStyle name="Normal 9 3 4 2 2 3" xfId="11688" xr:uid="{01E1766C-8C40-497E-937F-451BF8CDDB05}"/>
    <cellStyle name="Normal 9 3 4 2 3" xfId="5311" xr:uid="{00000000-0005-0000-0000-000026200000}"/>
    <cellStyle name="Normal 9 3 4 2 3 2" xfId="13761" xr:uid="{C326562C-263C-4979-8F43-E437A30AC9DE}"/>
    <cellStyle name="Normal 9 3 4 2 4" xfId="9543" xr:uid="{21E5E9D0-2C09-48C9-87EA-13C068BAED03}"/>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4D2E2A7B-205E-4C4A-8868-86C992369BC4}"/>
    <cellStyle name="Normal 9 3 4 3 2 3" xfId="12101" xr:uid="{52083660-D7D9-4FED-AE57-41ACA490091F}"/>
    <cellStyle name="Normal 9 3 4 3 3" xfId="5724" xr:uid="{00000000-0005-0000-0000-00002A200000}"/>
    <cellStyle name="Normal 9 3 4 3 3 2" xfId="14174" xr:uid="{B3B0A573-414A-4DEF-9E1A-28C4A44BFE12}"/>
    <cellStyle name="Normal 9 3 4 3 4" xfId="9956" xr:uid="{59E8D562-C3DF-4960-8C6D-744A4039AAD5}"/>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C3958F3D-9810-4453-8479-8944CAEF2465}"/>
    <cellStyle name="Normal 9 3 4 4 2 3" xfId="12514" xr:uid="{21A632DC-AE0C-41F9-A6EF-43279060BC16}"/>
    <cellStyle name="Normal 9 3 4 4 3" xfId="6137" xr:uid="{00000000-0005-0000-0000-00002E200000}"/>
    <cellStyle name="Normal 9 3 4 4 3 2" xfId="14587" xr:uid="{E138F657-D84E-4A1D-B6EF-B44E02DFA2A5}"/>
    <cellStyle name="Normal 9 3 4 4 4" xfId="10369" xr:uid="{827449AC-2F35-4BF7-BAC7-9D149E8D65F0}"/>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BD0315DC-43A0-4872-8447-EA77FDA94F50}"/>
    <cellStyle name="Normal 9 3 4 5 2 3" xfId="12927" xr:uid="{33BD3217-D3E5-482B-9C39-2F54A331DC44}"/>
    <cellStyle name="Normal 9 3 4 5 3" xfId="6550" xr:uid="{00000000-0005-0000-0000-000032200000}"/>
    <cellStyle name="Normal 9 3 4 5 3 2" xfId="15000" xr:uid="{C53CC727-D213-461B-B6B8-4DD3E2135F30}"/>
    <cellStyle name="Normal 9 3 4 5 4" xfId="10782" xr:uid="{E4F35BEE-F22C-4BBC-AFB1-24F3A655D914}"/>
    <cellStyle name="Normal 9 3 4 6" xfId="2680" xr:uid="{00000000-0005-0000-0000-000033200000}"/>
    <cellStyle name="Normal 9 3 4 6 2" xfId="6963" xr:uid="{00000000-0005-0000-0000-000034200000}"/>
    <cellStyle name="Normal 9 3 4 6 2 2" xfId="15413" xr:uid="{21FC9004-F50D-4CF2-8B52-05F2F33C0A2C}"/>
    <cellStyle name="Normal 9 3 4 6 3" xfId="11195" xr:uid="{95381F6F-2AF5-41A4-9E37-D8C755F874A4}"/>
    <cellStyle name="Normal 9 3 4 7" xfId="4898" xr:uid="{00000000-0005-0000-0000-000035200000}"/>
    <cellStyle name="Normal 9 3 4 7 2" xfId="13348" xr:uid="{F9466963-9BC1-4F05-9C79-E597751432DF}"/>
    <cellStyle name="Normal 9 3 4 8" xfId="9130" xr:uid="{716B3F42-16FB-4AA9-A414-77636871D427}"/>
    <cellStyle name="Normal 9 3 5" xfId="994" xr:uid="{00000000-0005-0000-0000-000036200000}"/>
    <cellStyle name="Normal 9 3 5 2" xfId="3227" xr:uid="{00000000-0005-0000-0000-000037200000}"/>
    <cellStyle name="Normal 9 3 5 2 2" xfId="7449" xr:uid="{00000000-0005-0000-0000-000038200000}"/>
    <cellStyle name="Normal 9 3 5 2 2 2" xfId="15899" xr:uid="{3AA736F4-2DB6-4253-928C-B92966639FA4}"/>
    <cellStyle name="Normal 9 3 5 2 3" xfId="11681" xr:uid="{023E3D61-DBAA-4813-AE95-AE43F32BDFA2}"/>
    <cellStyle name="Normal 9 3 5 3" xfId="5304" xr:uid="{00000000-0005-0000-0000-000039200000}"/>
    <cellStyle name="Normal 9 3 5 3 2" xfId="13754" xr:uid="{692D79FE-E702-4486-9CB1-4C15BFAF71C5}"/>
    <cellStyle name="Normal 9 3 5 4" xfId="9536" xr:uid="{A004F017-1642-4093-81D7-65FB0258E208}"/>
    <cellStyle name="Normal 9 3 6" xfId="1410" xr:uid="{00000000-0005-0000-0000-00003A200000}"/>
    <cellStyle name="Normal 9 3 6 2" xfId="3640" xr:uid="{00000000-0005-0000-0000-00003B200000}"/>
    <cellStyle name="Normal 9 3 6 2 2" xfId="7862" xr:uid="{00000000-0005-0000-0000-00003C200000}"/>
    <cellStyle name="Normal 9 3 6 2 2 2" xfId="16312" xr:uid="{4A68A738-D91B-422C-A170-0CF5FB49C8CE}"/>
    <cellStyle name="Normal 9 3 6 2 3" xfId="12094" xr:uid="{6F473ACC-563B-4E65-8FDA-703B5BD8D32B}"/>
    <cellStyle name="Normal 9 3 6 3" xfId="5717" xr:uid="{00000000-0005-0000-0000-00003D200000}"/>
    <cellStyle name="Normal 9 3 6 3 2" xfId="14167" xr:uid="{229DE822-F29F-4E08-8A57-4C229716E6DC}"/>
    <cellStyle name="Normal 9 3 6 4" xfId="9949" xr:uid="{9EDBBF1F-76F3-47D3-979F-3833F5105B0F}"/>
    <cellStyle name="Normal 9 3 7" xfId="1823" xr:uid="{00000000-0005-0000-0000-00003E200000}"/>
    <cellStyle name="Normal 9 3 7 2" xfId="4053" xr:uid="{00000000-0005-0000-0000-00003F200000}"/>
    <cellStyle name="Normal 9 3 7 2 2" xfId="8275" xr:uid="{00000000-0005-0000-0000-000040200000}"/>
    <cellStyle name="Normal 9 3 7 2 2 2" xfId="16725" xr:uid="{DF2F0643-8D46-450F-96C6-660CE47AD49B}"/>
    <cellStyle name="Normal 9 3 7 2 3" xfId="12507" xr:uid="{6A349479-CF1F-44F1-85CD-A1DC2DD07745}"/>
    <cellStyle name="Normal 9 3 7 3" xfId="6130" xr:uid="{00000000-0005-0000-0000-000041200000}"/>
    <cellStyle name="Normal 9 3 7 3 2" xfId="14580" xr:uid="{0FBFD304-B0BF-44E2-9830-E4E5C90222F6}"/>
    <cellStyle name="Normal 9 3 7 4" xfId="10362" xr:uid="{971A7B28-6DA9-43BF-A4D6-E213627BE6E5}"/>
    <cellStyle name="Normal 9 3 8" xfId="2237" xr:uid="{00000000-0005-0000-0000-000042200000}"/>
    <cellStyle name="Normal 9 3 8 2" xfId="4466" xr:uid="{00000000-0005-0000-0000-000043200000}"/>
    <cellStyle name="Normal 9 3 8 2 2" xfId="8688" xr:uid="{00000000-0005-0000-0000-000044200000}"/>
    <cellStyle name="Normal 9 3 8 2 2 2" xfId="17138" xr:uid="{BF3F6625-908D-426F-9EFC-82FD5EC4A623}"/>
    <cellStyle name="Normal 9 3 8 2 3" xfId="12920" xr:uid="{42F5E6EE-903B-4C53-A278-85897AC67BF2}"/>
    <cellStyle name="Normal 9 3 8 3" xfId="6543" xr:uid="{00000000-0005-0000-0000-000045200000}"/>
    <cellStyle name="Normal 9 3 8 3 2" xfId="14993" xr:uid="{52BD6FD7-5ECC-475C-ACF5-EE48B0BAC4DF}"/>
    <cellStyle name="Normal 9 3 8 4" xfId="10775" xr:uid="{70F7B3E2-73B3-4CF4-A8F2-A9CC09FC9286}"/>
    <cellStyle name="Normal 9 3 9" xfId="2673" xr:uid="{00000000-0005-0000-0000-000046200000}"/>
    <cellStyle name="Normal 9 3 9 2" xfId="6956" xr:uid="{00000000-0005-0000-0000-000047200000}"/>
    <cellStyle name="Normal 9 3 9 2 2" xfId="15406" xr:uid="{8980AD60-1813-4BCA-AF6F-ECF790371BC9}"/>
    <cellStyle name="Normal 9 3 9 3" xfId="11188" xr:uid="{44F91872-7C72-493E-A6CE-8295E0FF0F5A}"/>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03C46ADD-B522-429A-8FA1-4508D982DABC}"/>
    <cellStyle name="Normal 9 5 2 2 2 3" xfId="11690" xr:uid="{BB59277B-72C8-41ED-B978-C2E1AA7C7AD7}"/>
    <cellStyle name="Normal 9 5 2 2 3" xfId="5313" xr:uid="{00000000-0005-0000-0000-00004F200000}"/>
    <cellStyle name="Normal 9 5 2 2 3 2" xfId="13763" xr:uid="{87E382EC-FC58-46C2-A40F-255DB1EF04AB}"/>
    <cellStyle name="Normal 9 5 2 2 4" xfId="9545" xr:uid="{E9E1381C-C79F-448B-8AAE-8CE11443E31B}"/>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079F072D-0ED3-4419-B511-5A8DE67DFB3A}"/>
    <cellStyle name="Normal 9 5 2 3 2 3" xfId="12103" xr:uid="{320A445B-A03B-4D21-A9C0-EB7E43706F06}"/>
    <cellStyle name="Normal 9 5 2 3 3" xfId="5726" xr:uid="{00000000-0005-0000-0000-000053200000}"/>
    <cellStyle name="Normal 9 5 2 3 3 2" xfId="14176" xr:uid="{2EAD9B0C-47FE-4AE9-8670-C85D3C634F62}"/>
    <cellStyle name="Normal 9 5 2 3 4" xfId="9958" xr:uid="{AF095C61-D2A3-4D9B-B781-780938E1EF70}"/>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D3C337CB-FD3D-4082-BBF2-418F5E5F7D69}"/>
    <cellStyle name="Normal 9 5 2 4 2 3" xfId="12516" xr:uid="{69595507-48FB-4D3F-B643-72D08B1FB34C}"/>
    <cellStyle name="Normal 9 5 2 4 3" xfId="6139" xr:uid="{00000000-0005-0000-0000-000057200000}"/>
    <cellStyle name="Normal 9 5 2 4 3 2" xfId="14589" xr:uid="{300EC4BF-3FE2-4E47-ACDA-0AEF7623E179}"/>
    <cellStyle name="Normal 9 5 2 4 4" xfId="10371" xr:uid="{83DA2CC9-2DB1-42DC-A874-7C08977CD87B}"/>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2C450204-EAAD-4FCF-8F1F-237FD961293E}"/>
    <cellStyle name="Normal 9 5 2 5 2 3" xfId="12929" xr:uid="{8C4927C4-A837-4FE1-A428-2BFB4894BE9B}"/>
    <cellStyle name="Normal 9 5 2 5 3" xfId="6552" xr:uid="{00000000-0005-0000-0000-00005B200000}"/>
    <cellStyle name="Normal 9 5 2 5 3 2" xfId="15002" xr:uid="{63EA82F2-69B5-47D2-9C26-7FC8926F75DF}"/>
    <cellStyle name="Normal 9 5 2 5 4" xfId="10784" xr:uid="{1876E4CA-F95D-42EB-813A-378096AAABA8}"/>
    <cellStyle name="Normal 9 5 2 6" xfId="2682" xr:uid="{00000000-0005-0000-0000-00005C200000}"/>
    <cellStyle name="Normal 9 5 2 6 2" xfId="6965" xr:uid="{00000000-0005-0000-0000-00005D200000}"/>
    <cellStyle name="Normal 9 5 2 6 2 2" xfId="15415" xr:uid="{0A0CFE2F-94FA-4B03-BD48-DFBE67AC90CC}"/>
    <cellStyle name="Normal 9 5 2 6 3" xfId="11197" xr:uid="{7A1404FF-0CC0-43DF-92A6-78B113F6CC06}"/>
    <cellStyle name="Normal 9 5 2 7" xfId="4900" xr:uid="{00000000-0005-0000-0000-00005E200000}"/>
    <cellStyle name="Normal 9 5 2 7 2" xfId="13350" xr:uid="{3264179C-866B-44B3-A5D2-F0B23CDDB35D}"/>
    <cellStyle name="Normal 9 5 2 8" xfId="9132" xr:uid="{71A06391-66B7-43DA-B27B-688D44012E97}"/>
    <cellStyle name="Normal 9 5 3" xfId="1003" xr:uid="{00000000-0005-0000-0000-00005F200000}"/>
    <cellStyle name="Normal 9 5 3 2" xfId="3235" xr:uid="{00000000-0005-0000-0000-000060200000}"/>
    <cellStyle name="Normal 9 5 3 2 2" xfId="7457" xr:uid="{00000000-0005-0000-0000-000061200000}"/>
    <cellStyle name="Normal 9 5 3 2 2 2" xfId="15907" xr:uid="{08ECB04D-4CFF-478B-B069-650B0F386A86}"/>
    <cellStyle name="Normal 9 5 3 2 3" xfId="11689" xr:uid="{C45D1C8B-1099-4DA7-9072-38C51E676D0E}"/>
    <cellStyle name="Normal 9 5 3 3" xfId="5312" xr:uid="{00000000-0005-0000-0000-000062200000}"/>
    <cellStyle name="Normal 9 5 3 3 2" xfId="13762" xr:uid="{16523134-221E-4878-BF9A-195B522E26B7}"/>
    <cellStyle name="Normal 9 5 3 4" xfId="9544" xr:uid="{012749C4-2F7B-4C35-8140-9243555E2DAA}"/>
    <cellStyle name="Normal 9 5 4" xfId="1418" xr:uid="{00000000-0005-0000-0000-000063200000}"/>
    <cellStyle name="Normal 9 5 4 2" xfId="3648" xr:uid="{00000000-0005-0000-0000-000064200000}"/>
    <cellStyle name="Normal 9 5 4 2 2" xfId="7870" xr:uid="{00000000-0005-0000-0000-000065200000}"/>
    <cellStyle name="Normal 9 5 4 2 2 2" xfId="16320" xr:uid="{9D12FACA-D5C0-4EEA-9388-FB581E35E7F4}"/>
    <cellStyle name="Normal 9 5 4 2 3" xfId="12102" xr:uid="{82F9ACF4-9D03-422A-B99F-3BC27D2E9EF6}"/>
    <cellStyle name="Normal 9 5 4 3" xfId="5725" xr:uid="{00000000-0005-0000-0000-000066200000}"/>
    <cellStyle name="Normal 9 5 4 3 2" xfId="14175" xr:uid="{8C6EA93D-AC8E-4924-89A4-B68E270D629F}"/>
    <cellStyle name="Normal 9 5 4 4" xfId="9957" xr:uid="{83EC6ABA-7BC5-4AC8-B64F-DD49B62A57E4}"/>
    <cellStyle name="Normal 9 5 5" xfId="1831" xr:uid="{00000000-0005-0000-0000-000067200000}"/>
    <cellStyle name="Normal 9 5 5 2" xfId="4061" xr:uid="{00000000-0005-0000-0000-000068200000}"/>
    <cellStyle name="Normal 9 5 5 2 2" xfId="8283" xr:uid="{00000000-0005-0000-0000-000069200000}"/>
    <cellStyle name="Normal 9 5 5 2 2 2" xfId="16733" xr:uid="{D597BC11-151A-432B-A82B-7F176E33898A}"/>
    <cellStyle name="Normal 9 5 5 2 3" xfId="12515" xr:uid="{536A1E41-0678-46AE-AD66-B9A7196E8389}"/>
    <cellStyle name="Normal 9 5 5 3" xfId="6138" xr:uid="{00000000-0005-0000-0000-00006A200000}"/>
    <cellStyle name="Normal 9 5 5 3 2" xfId="14588" xr:uid="{4BE6A565-40E9-4504-BA1C-3ADA5319E22C}"/>
    <cellStyle name="Normal 9 5 5 4" xfId="10370" xr:uid="{B95DA251-6B1D-4A7F-A4F6-7C8302959F74}"/>
    <cellStyle name="Normal 9 5 6" xfId="2245" xr:uid="{00000000-0005-0000-0000-00006B200000}"/>
    <cellStyle name="Normal 9 5 6 2" xfId="4474" xr:uid="{00000000-0005-0000-0000-00006C200000}"/>
    <cellStyle name="Normal 9 5 6 2 2" xfId="8696" xr:uid="{00000000-0005-0000-0000-00006D200000}"/>
    <cellStyle name="Normal 9 5 6 2 2 2" xfId="17146" xr:uid="{DE837D5A-9030-49EA-9871-4CEBC219B329}"/>
    <cellStyle name="Normal 9 5 6 2 3" xfId="12928" xr:uid="{35E8315B-8650-466A-B86D-39D16B8535F1}"/>
    <cellStyle name="Normal 9 5 6 3" xfId="6551" xr:uid="{00000000-0005-0000-0000-00006E200000}"/>
    <cellStyle name="Normal 9 5 6 3 2" xfId="15001" xr:uid="{A5ECEF51-13EE-44BC-BACB-09D350A90F4E}"/>
    <cellStyle name="Normal 9 5 6 4" xfId="10783" xr:uid="{A47A2553-C60C-4CEF-81CF-E40CBCC52355}"/>
    <cellStyle name="Normal 9 5 7" xfId="2681" xr:uid="{00000000-0005-0000-0000-00006F200000}"/>
    <cellStyle name="Normal 9 5 7 2" xfId="6964" xr:uid="{00000000-0005-0000-0000-000070200000}"/>
    <cellStyle name="Normal 9 5 7 2 2" xfId="15414" xr:uid="{C0718E3C-74FF-4B89-98D9-2D8F844F1F9D}"/>
    <cellStyle name="Normal 9 5 7 3" xfId="11196" xr:uid="{64C766B4-F11F-43F0-BDCE-06F939957E35}"/>
    <cellStyle name="Normal 9 5 8" xfId="4899" xr:uid="{00000000-0005-0000-0000-000071200000}"/>
    <cellStyle name="Normal 9 5 8 2" xfId="13349" xr:uid="{EBB2FCA0-4180-47F0-895B-C7444AB54D7C}"/>
    <cellStyle name="Normal 9 5 9" xfId="9131" xr:uid="{E18D866F-1F5C-4995-BDCC-1CE6BC5A2E54}"/>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15909" xr:uid="{702B5A67-5D5F-465A-83EA-2CB8F1A3E6D8}"/>
    <cellStyle name="Normal 9 6 2 2 3" xfId="11691" xr:uid="{0831F2BA-2AA5-431F-ABC1-E3B62FCD1869}"/>
    <cellStyle name="Normal 9 6 2 3" xfId="5314" xr:uid="{00000000-0005-0000-0000-000076200000}"/>
    <cellStyle name="Normal 9 6 2 3 2" xfId="13764" xr:uid="{D97D214E-13A4-4A04-9C58-3A66FE48559D}"/>
    <cellStyle name="Normal 9 6 2 4" xfId="9546" xr:uid="{4C2416BB-66B9-4ACE-B6A8-18AB512C1439}"/>
    <cellStyle name="Normal 9 6 3" xfId="1420" xr:uid="{00000000-0005-0000-0000-000077200000}"/>
    <cellStyle name="Normal 9 6 3 2" xfId="3650" xr:uid="{00000000-0005-0000-0000-000078200000}"/>
    <cellStyle name="Normal 9 6 3 2 2" xfId="7872" xr:uid="{00000000-0005-0000-0000-000079200000}"/>
    <cellStyle name="Normal 9 6 3 2 2 2" xfId="16322" xr:uid="{40FBB4B9-90DE-4F63-BB73-15C347972AF4}"/>
    <cellStyle name="Normal 9 6 3 2 3" xfId="12104" xr:uid="{854D327C-7FEA-47A7-87D3-D2EF7C1763F0}"/>
    <cellStyle name="Normal 9 6 3 3" xfId="5727" xr:uid="{00000000-0005-0000-0000-00007A200000}"/>
    <cellStyle name="Normal 9 6 3 3 2" xfId="14177" xr:uid="{8678471F-7328-459E-A7B2-C9412AB57DD4}"/>
    <cellStyle name="Normal 9 6 3 4" xfId="9959" xr:uid="{35A421E9-472F-405F-90AA-1120CFC9E7C7}"/>
    <cellStyle name="Normal 9 6 4" xfId="1833" xr:uid="{00000000-0005-0000-0000-00007B200000}"/>
    <cellStyle name="Normal 9 6 4 2" xfId="4063" xr:uid="{00000000-0005-0000-0000-00007C200000}"/>
    <cellStyle name="Normal 9 6 4 2 2" xfId="8285" xr:uid="{00000000-0005-0000-0000-00007D200000}"/>
    <cellStyle name="Normal 9 6 4 2 2 2" xfId="16735" xr:uid="{1D6677F0-7409-411A-84EF-F6163DAAF589}"/>
    <cellStyle name="Normal 9 6 4 2 3" xfId="12517" xr:uid="{495B2153-9DF0-402E-8DBD-882B3D0257F7}"/>
    <cellStyle name="Normal 9 6 4 3" xfId="6140" xr:uid="{00000000-0005-0000-0000-00007E200000}"/>
    <cellStyle name="Normal 9 6 4 3 2" xfId="14590" xr:uid="{4D49A6A5-5017-4096-BE28-5EFBD1E30BD9}"/>
    <cellStyle name="Normal 9 6 4 4" xfId="10372" xr:uid="{DA50F455-5F1E-4185-9107-86CF04EAB365}"/>
    <cellStyle name="Normal 9 6 5" xfId="2247" xr:uid="{00000000-0005-0000-0000-00007F200000}"/>
    <cellStyle name="Normal 9 6 5 2" xfId="4476" xr:uid="{00000000-0005-0000-0000-000080200000}"/>
    <cellStyle name="Normal 9 6 5 2 2" xfId="8698" xr:uid="{00000000-0005-0000-0000-000081200000}"/>
    <cellStyle name="Normal 9 6 5 2 2 2" xfId="17148" xr:uid="{461C5EE2-BE24-44CF-80C3-B1838AD3031C}"/>
    <cellStyle name="Normal 9 6 5 2 3" xfId="12930" xr:uid="{0DD6DCBA-5150-4278-B88F-14E4A482EAB4}"/>
    <cellStyle name="Normal 9 6 5 3" xfId="6553" xr:uid="{00000000-0005-0000-0000-000082200000}"/>
    <cellStyle name="Normal 9 6 5 3 2" xfId="15003" xr:uid="{82BFC481-6E67-450A-8FB7-B16B7BCC1C17}"/>
    <cellStyle name="Normal 9 6 5 4" xfId="10785" xr:uid="{A4AC18AA-DEAA-401C-AFAE-5C4A3D47BE90}"/>
    <cellStyle name="Normal 9 6 6" xfId="2683" xr:uid="{00000000-0005-0000-0000-000083200000}"/>
    <cellStyle name="Normal 9 6 6 2" xfId="6966" xr:uid="{00000000-0005-0000-0000-000084200000}"/>
    <cellStyle name="Normal 9 6 6 2 2" xfId="15416" xr:uid="{D5AC852D-1F6D-48FC-82D7-8F6B520B3A42}"/>
    <cellStyle name="Normal 9 6 6 3" xfId="11198" xr:uid="{67D446FE-8366-4B47-B233-2ECD9C5B88ED}"/>
    <cellStyle name="Normal 9 6 7" xfId="4901" xr:uid="{00000000-0005-0000-0000-000085200000}"/>
    <cellStyle name="Normal 9 6 7 2" xfId="13351" xr:uid="{70642046-A543-4077-AD5F-3836C036E683}"/>
    <cellStyle name="Normal 9 6 8" xfId="9133" xr:uid="{70E542EA-7E98-4E6D-BEE9-F145323A77D5}"/>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89519065-E692-4437-A7BC-22ECB4450341}"/>
    <cellStyle name="Note 2 2 10 3" xfId="11279" xr:uid="{53A5958C-9D0D-429A-B78C-7927982CADC4}"/>
    <cellStyle name="Note 2 2 11" xfId="4902" xr:uid="{00000000-0005-0000-0000-000094200000}"/>
    <cellStyle name="Note 2 2 11 2" xfId="13352" xr:uid="{5B4E5163-8D63-4D52-AC67-74204552308D}"/>
    <cellStyle name="Note 2 2 12" xfId="9134" xr:uid="{FE389DB8-CFFD-44F8-A002-8F28147E08A2}"/>
    <cellStyle name="Note 2 2 2" xfId="546" xr:uid="{00000000-0005-0000-0000-000095200000}"/>
    <cellStyle name="Note 2 2 2 10" xfId="4903" xr:uid="{00000000-0005-0000-0000-000096200000}"/>
    <cellStyle name="Note 2 2 2 10 2" xfId="13353" xr:uid="{498B0446-99E9-4522-8614-039CC0264721}"/>
    <cellStyle name="Note 2 2 2 11" xfId="9135" xr:uid="{3E702923-0F28-4560-966E-D5E7779290D9}"/>
    <cellStyle name="Note 2 2 2 2" xfId="547" xr:uid="{00000000-0005-0000-0000-000097200000}"/>
    <cellStyle name="Note 2 2 2 2 10" xfId="9136" xr:uid="{9DA2E769-4A1D-4E4B-8487-CD0F5F5CE2BD}"/>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4887A03A-ADCD-4053-96ED-1D715E7496CD}"/>
    <cellStyle name="Note 2 2 2 2 2 2 3" xfId="11694" xr:uid="{6DB83A6D-7235-44C6-A690-C74989846AC0}"/>
    <cellStyle name="Note 2 2 2 2 2 3" xfId="5317" xr:uid="{00000000-0005-0000-0000-00009B200000}"/>
    <cellStyle name="Note 2 2 2 2 2 3 2" xfId="13767" xr:uid="{467E71A9-BE37-4362-922C-64D2A3BE5394}"/>
    <cellStyle name="Note 2 2 2 2 2 4" xfId="9549" xr:uid="{A7460A34-CFAA-4BD5-A477-924B0E7B625D}"/>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BB9E4737-25E7-4F57-BB9C-D99DEE1EE0CA}"/>
    <cellStyle name="Note 2 2 2 2 3 2 3" xfId="12107" xr:uid="{B6256170-D8F8-4C6F-AAEF-84245A7BED7C}"/>
    <cellStyle name="Note 2 2 2 2 3 3" xfId="5730" xr:uid="{00000000-0005-0000-0000-00009F200000}"/>
    <cellStyle name="Note 2 2 2 2 3 3 2" xfId="14180" xr:uid="{A33F45F5-C920-4C7E-88BC-08FE22373536}"/>
    <cellStyle name="Note 2 2 2 2 3 4" xfId="9962" xr:uid="{79A74D78-555D-4677-85AC-27CDB35F79AE}"/>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562AD312-E85E-46BD-A977-350A1000E7F4}"/>
    <cellStyle name="Note 2 2 2 2 4 2 3" xfId="12520" xr:uid="{C00E83FA-AC5B-4707-BA47-8BDF05AAD6B3}"/>
    <cellStyle name="Note 2 2 2 2 4 3" xfId="6143" xr:uid="{00000000-0005-0000-0000-0000A3200000}"/>
    <cellStyle name="Note 2 2 2 2 4 3 2" xfId="14593" xr:uid="{6E79306F-6931-4923-936A-A9B69A2724AC}"/>
    <cellStyle name="Note 2 2 2 2 4 4" xfId="10375" xr:uid="{04DF1EB5-490D-4CE5-ABE3-50B384BFB3C8}"/>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755CEA5A-2725-4763-9B47-8081E856132F}"/>
    <cellStyle name="Note 2 2 2 2 5 2 3" xfId="12933" xr:uid="{1C24902A-49FF-4E3F-AE08-7B38C977D1F6}"/>
    <cellStyle name="Note 2 2 2 2 5 3" xfId="6556" xr:uid="{00000000-0005-0000-0000-0000A7200000}"/>
    <cellStyle name="Note 2 2 2 2 5 3 2" xfId="15006" xr:uid="{C64FA841-D41B-4B36-93EB-6E1EB4F39DA5}"/>
    <cellStyle name="Note 2 2 2 2 5 4" xfId="10788" xr:uid="{BE3CA80D-43B0-480E-81AB-939EF4C33048}"/>
    <cellStyle name="Note 2 2 2 2 6" xfId="2686" xr:uid="{00000000-0005-0000-0000-0000A8200000}"/>
    <cellStyle name="Note 2 2 2 2 6 2" xfId="6969" xr:uid="{00000000-0005-0000-0000-0000A9200000}"/>
    <cellStyle name="Note 2 2 2 2 6 2 2" xfId="15419" xr:uid="{C4FFA099-FE6F-43A3-8699-2FADE159AB88}"/>
    <cellStyle name="Note 2 2 2 2 6 3" xfId="11201" xr:uid="{657350B8-0405-4D8A-82A5-DAF325E04D59}"/>
    <cellStyle name="Note 2 2 2 2 7" xfId="2745" xr:uid="{00000000-0005-0000-0000-0000AA200000}"/>
    <cellStyle name="Note 2 2 2 2 8" xfId="2826" xr:uid="{00000000-0005-0000-0000-0000AB200000}"/>
    <cellStyle name="Note 2 2 2 2 8 2" xfId="7049" xr:uid="{00000000-0005-0000-0000-0000AC200000}"/>
    <cellStyle name="Note 2 2 2 2 8 2 2" xfId="15499" xr:uid="{AF3EA5CA-C0F5-41C3-94A9-2EEEE4BB4A2C}"/>
    <cellStyle name="Note 2 2 2 2 8 3" xfId="11281" xr:uid="{0D7F027F-3951-4721-9919-B3BCC5923FD3}"/>
    <cellStyle name="Note 2 2 2 2 9" xfId="4904" xr:uid="{00000000-0005-0000-0000-0000AD200000}"/>
    <cellStyle name="Note 2 2 2 2 9 2" xfId="13354" xr:uid="{FC8F97E5-4870-44BC-93F0-1A83F0A5352A}"/>
    <cellStyle name="Note 2 2 2 3" xfId="1007" xr:uid="{00000000-0005-0000-0000-0000AE200000}"/>
    <cellStyle name="Note 2 2 2 3 2" xfId="3239" xr:uid="{00000000-0005-0000-0000-0000AF200000}"/>
    <cellStyle name="Note 2 2 2 3 2 2" xfId="7461" xr:uid="{00000000-0005-0000-0000-0000B0200000}"/>
    <cellStyle name="Note 2 2 2 3 2 2 2" xfId="15911" xr:uid="{2A0CFC69-5A53-43F9-AE29-FE332934C14E}"/>
    <cellStyle name="Note 2 2 2 3 2 3" xfId="11693" xr:uid="{2472D47A-C820-4714-BF2E-309EB1C0E664}"/>
    <cellStyle name="Note 2 2 2 3 3" xfId="5316" xr:uid="{00000000-0005-0000-0000-0000B1200000}"/>
    <cellStyle name="Note 2 2 2 3 3 2" xfId="13766" xr:uid="{DB788D69-ACD4-4C3D-A3F1-8414B7103258}"/>
    <cellStyle name="Note 2 2 2 3 4" xfId="9548" xr:uid="{ED61B995-5A3D-49FC-B133-4E1A18DE4C20}"/>
    <cellStyle name="Note 2 2 2 4" xfId="1422" xr:uid="{00000000-0005-0000-0000-0000B2200000}"/>
    <cellStyle name="Note 2 2 2 4 2" xfId="3652" xr:uid="{00000000-0005-0000-0000-0000B3200000}"/>
    <cellStyle name="Note 2 2 2 4 2 2" xfId="7874" xr:uid="{00000000-0005-0000-0000-0000B4200000}"/>
    <cellStyle name="Note 2 2 2 4 2 2 2" xfId="16324" xr:uid="{C95D4610-F00B-48E2-A5B3-6CFD958358EE}"/>
    <cellStyle name="Note 2 2 2 4 2 3" xfId="12106" xr:uid="{392AF18F-0555-42AF-98C0-06085FAE94B2}"/>
    <cellStyle name="Note 2 2 2 4 3" xfId="5729" xr:uid="{00000000-0005-0000-0000-0000B5200000}"/>
    <cellStyle name="Note 2 2 2 4 3 2" xfId="14179" xr:uid="{D65B883E-D5FB-4288-9E24-471B50DD37ED}"/>
    <cellStyle name="Note 2 2 2 4 4" xfId="9961" xr:uid="{66C3706A-FC77-4AC5-BA89-464C22451E96}"/>
    <cellStyle name="Note 2 2 2 5" xfId="1836" xr:uid="{00000000-0005-0000-0000-0000B6200000}"/>
    <cellStyle name="Note 2 2 2 5 2" xfId="4065" xr:uid="{00000000-0005-0000-0000-0000B7200000}"/>
    <cellStyle name="Note 2 2 2 5 2 2" xfId="8287" xr:uid="{00000000-0005-0000-0000-0000B8200000}"/>
    <cellStyle name="Note 2 2 2 5 2 2 2" xfId="16737" xr:uid="{FEE4A2E2-E557-4BBB-AA1E-5E212971E4AA}"/>
    <cellStyle name="Note 2 2 2 5 2 3" xfId="12519" xr:uid="{D93A389D-F181-4752-8299-E2E2F6E8E92B}"/>
    <cellStyle name="Note 2 2 2 5 3" xfId="6142" xr:uid="{00000000-0005-0000-0000-0000B9200000}"/>
    <cellStyle name="Note 2 2 2 5 3 2" xfId="14592" xr:uid="{D641453F-F808-4D3B-B5CB-35438D4BA1CB}"/>
    <cellStyle name="Note 2 2 2 5 4" xfId="10374" xr:uid="{194FA8B9-DAE4-4DC9-9E82-8A39090FF145}"/>
    <cellStyle name="Note 2 2 2 6" xfId="2249" xr:uid="{00000000-0005-0000-0000-0000BA200000}"/>
    <cellStyle name="Note 2 2 2 6 2" xfId="4478" xr:uid="{00000000-0005-0000-0000-0000BB200000}"/>
    <cellStyle name="Note 2 2 2 6 2 2" xfId="8700" xr:uid="{00000000-0005-0000-0000-0000BC200000}"/>
    <cellStyle name="Note 2 2 2 6 2 2 2" xfId="17150" xr:uid="{27E09C99-D47D-4859-9350-92C4128A3F22}"/>
    <cellStyle name="Note 2 2 2 6 2 3" xfId="12932" xr:uid="{3A308BAC-A971-499E-90CE-C69C4398D39E}"/>
    <cellStyle name="Note 2 2 2 6 3" xfId="6555" xr:uid="{00000000-0005-0000-0000-0000BD200000}"/>
    <cellStyle name="Note 2 2 2 6 3 2" xfId="15005" xr:uid="{66657600-E9B9-493C-B89E-5072FC1D8FD4}"/>
    <cellStyle name="Note 2 2 2 6 4" xfId="10787" xr:uid="{36E0B673-B4E1-448C-AB1C-4D3EE19EC19A}"/>
    <cellStyle name="Note 2 2 2 7" xfId="2685" xr:uid="{00000000-0005-0000-0000-0000BE200000}"/>
    <cellStyle name="Note 2 2 2 7 2" xfId="6968" xr:uid="{00000000-0005-0000-0000-0000BF200000}"/>
    <cellStyle name="Note 2 2 2 7 2 2" xfId="15418" xr:uid="{E8015F39-56D5-43A3-849D-0C24EDFB6403}"/>
    <cellStyle name="Note 2 2 2 7 3" xfId="11200" xr:uid="{3030EE97-86D5-41E6-84D0-4EE6C736D130}"/>
    <cellStyle name="Note 2 2 2 8" xfId="2744" xr:uid="{00000000-0005-0000-0000-0000C0200000}"/>
    <cellStyle name="Note 2 2 2 9" xfId="2825" xr:uid="{00000000-0005-0000-0000-0000C1200000}"/>
    <cellStyle name="Note 2 2 2 9 2" xfId="7048" xr:uid="{00000000-0005-0000-0000-0000C2200000}"/>
    <cellStyle name="Note 2 2 2 9 2 2" xfId="15498" xr:uid="{902977F6-C8A1-4F18-80AE-AA8646C18E6B}"/>
    <cellStyle name="Note 2 2 2 9 3" xfId="11280" xr:uid="{87E2FEC2-BDA1-4082-A2E8-A95E99FD3D64}"/>
    <cellStyle name="Note 2 2 3" xfId="548" xr:uid="{00000000-0005-0000-0000-0000C3200000}"/>
    <cellStyle name="Note 2 2 3 10" xfId="9137" xr:uid="{0FC8D2B1-9200-44F7-ABB2-836FB376BFE9}"/>
    <cellStyle name="Note 2 2 3 2" xfId="1009" xr:uid="{00000000-0005-0000-0000-0000C4200000}"/>
    <cellStyle name="Note 2 2 3 2 2" xfId="3241" xr:uid="{00000000-0005-0000-0000-0000C5200000}"/>
    <cellStyle name="Note 2 2 3 2 2 2" xfId="7463" xr:uid="{00000000-0005-0000-0000-0000C6200000}"/>
    <cellStyle name="Note 2 2 3 2 2 2 2" xfId="15913" xr:uid="{90514404-8ECB-49F2-BADA-059EC26CB389}"/>
    <cellStyle name="Note 2 2 3 2 2 3" xfId="11695" xr:uid="{123A395F-21F8-4B47-A97E-E80D9E6909C2}"/>
    <cellStyle name="Note 2 2 3 2 3" xfId="5318" xr:uid="{00000000-0005-0000-0000-0000C7200000}"/>
    <cellStyle name="Note 2 2 3 2 3 2" xfId="13768" xr:uid="{C19E5849-310B-43D4-BE43-32787D8647CB}"/>
    <cellStyle name="Note 2 2 3 2 4" xfId="9550" xr:uid="{2E9FFF56-645C-4430-9102-E0F083C848C4}"/>
    <cellStyle name="Note 2 2 3 3" xfId="1424" xr:uid="{00000000-0005-0000-0000-0000C8200000}"/>
    <cellStyle name="Note 2 2 3 3 2" xfId="3654" xr:uid="{00000000-0005-0000-0000-0000C9200000}"/>
    <cellStyle name="Note 2 2 3 3 2 2" xfId="7876" xr:uid="{00000000-0005-0000-0000-0000CA200000}"/>
    <cellStyle name="Note 2 2 3 3 2 2 2" xfId="16326" xr:uid="{F8E87C17-07CC-4F98-9A18-C51F149DE4FF}"/>
    <cellStyle name="Note 2 2 3 3 2 3" xfId="12108" xr:uid="{6359BF8E-7AB5-4FA3-B8D8-683DCF766B86}"/>
    <cellStyle name="Note 2 2 3 3 3" xfId="5731" xr:uid="{00000000-0005-0000-0000-0000CB200000}"/>
    <cellStyle name="Note 2 2 3 3 3 2" xfId="14181" xr:uid="{833D3116-5D02-4A29-A6BC-E7CE08D5C187}"/>
    <cellStyle name="Note 2 2 3 3 4" xfId="9963" xr:uid="{8A46BB6E-AAC2-40BF-A7AB-FF1C92CD243B}"/>
    <cellStyle name="Note 2 2 3 4" xfId="1838" xr:uid="{00000000-0005-0000-0000-0000CC200000}"/>
    <cellStyle name="Note 2 2 3 4 2" xfId="4067" xr:uid="{00000000-0005-0000-0000-0000CD200000}"/>
    <cellStyle name="Note 2 2 3 4 2 2" xfId="8289" xr:uid="{00000000-0005-0000-0000-0000CE200000}"/>
    <cellStyle name="Note 2 2 3 4 2 2 2" xfId="16739" xr:uid="{91B7EC41-DF61-4741-ACBA-17D742239D8F}"/>
    <cellStyle name="Note 2 2 3 4 2 3" xfId="12521" xr:uid="{F2BF74A5-0D4F-4642-835B-0A32F67EE751}"/>
    <cellStyle name="Note 2 2 3 4 3" xfId="6144" xr:uid="{00000000-0005-0000-0000-0000CF200000}"/>
    <cellStyle name="Note 2 2 3 4 3 2" xfId="14594" xr:uid="{088AC498-7037-4C81-978D-9B885F7687FC}"/>
    <cellStyle name="Note 2 2 3 4 4" xfId="10376" xr:uid="{ABA58560-42F7-4A53-AB35-636405D2FD38}"/>
    <cellStyle name="Note 2 2 3 5" xfId="2251" xr:uid="{00000000-0005-0000-0000-0000D0200000}"/>
    <cellStyle name="Note 2 2 3 5 2" xfId="4480" xr:uid="{00000000-0005-0000-0000-0000D1200000}"/>
    <cellStyle name="Note 2 2 3 5 2 2" xfId="8702" xr:uid="{00000000-0005-0000-0000-0000D2200000}"/>
    <cellStyle name="Note 2 2 3 5 2 2 2" xfId="17152" xr:uid="{5D6C046E-AD78-4CC7-B908-60A32F539CF7}"/>
    <cellStyle name="Note 2 2 3 5 2 3" xfId="12934" xr:uid="{54675134-88F8-4F6B-9522-581F9917C2D6}"/>
    <cellStyle name="Note 2 2 3 5 3" xfId="6557" xr:uid="{00000000-0005-0000-0000-0000D3200000}"/>
    <cellStyle name="Note 2 2 3 5 3 2" xfId="15007" xr:uid="{006029A4-0E6E-4589-9F8C-310651B673F6}"/>
    <cellStyle name="Note 2 2 3 5 4" xfId="10789" xr:uid="{33B8EB90-869E-471B-8EBA-AE7DAB9F1361}"/>
    <cellStyle name="Note 2 2 3 6" xfId="2687" xr:uid="{00000000-0005-0000-0000-0000D4200000}"/>
    <cellStyle name="Note 2 2 3 6 2" xfId="6970" xr:uid="{00000000-0005-0000-0000-0000D5200000}"/>
    <cellStyle name="Note 2 2 3 6 2 2" xfId="15420" xr:uid="{E5E04890-8D20-48E9-80DD-8E25BA1F824F}"/>
    <cellStyle name="Note 2 2 3 6 3" xfId="11202" xr:uid="{6378EED1-5726-44F4-8085-1177C4EBD225}"/>
    <cellStyle name="Note 2 2 3 7" xfId="2746" xr:uid="{00000000-0005-0000-0000-0000D6200000}"/>
    <cellStyle name="Note 2 2 3 8" xfId="2827" xr:uid="{00000000-0005-0000-0000-0000D7200000}"/>
    <cellStyle name="Note 2 2 3 8 2" xfId="7050" xr:uid="{00000000-0005-0000-0000-0000D8200000}"/>
    <cellStyle name="Note 2 2 3 8 2 2" xfId="15500" xr:uid="{96E43CD8-39CE-441F-8865-1DE2F95ECD0D}"/>
    <cellStyle name="Note 2 2 3 8 3" xfId="11282" xr:uid="{FDA13A6C-6D77-46F0-80D7-B408599CA46D}"/>
    <cellStyle name="Note 2 2 3 9" xfId="4905" xr:uid="{00000000-0005-0000-0000-0000D9200000}"/>
    <cellStyle name="Note 2 2 3 9 2" xfId="13355" xr:uid="{80675161-FA77-41D4-A2E5-F1BADA6CD87D}"/>
    <cellStyle name="Note 2 2 4" xfId="1006" xr:uid="{00000000-0005-0000-0000-0000DA200000}"/>
    <cellStyle name="Note 2 2 4 2" xfId="3238" xr:uid="{00000000-0005-0000-0000-0000DB200000}"/>
    <cellStyle name="Note 2 2 4 2 2" xfId="7460" xr:uid="{00000000-0005-0000-0000-0000DC200000}"/>
    <cellStyle name="Note 2 2 4 2 2 2" xfId="15910" xr:uid="{528067D2-6BEE-4EFE-8BC0-AAEB762D25C9}"/>
    <cellStyle name="Note 2 2 4 2 3" xfId="11692" xr:uid="{21252386-79E8-4A65-9B57-25C78479273B}"/>
    <cellStyle name="Note 2 2 4 3" xfId="5315" xr:uid="{00000000-0005-0000-0000-0000DD200000}"/>
    <cellStyle name="Note 2 2 4 3 2" xfId="13765" xr:uid="{53432E8C-4561-4EE5-B057-8CC2DDA3B59A}"/>
    <cellStyle name="Note 2 2 4 4" xfId="9547" xr:uid="{306FCE0E-5051-4533-8A2A-9EC9EEFCE85D}"/>
    <cellStyle name="Note 2 2 5" xfId="1421" xr:uid="{00000000-0005-0000-0000-0000DE200000}"/>
    <cellStyle name="Note 2 2 5 2" xfId="3651" xr:uid="{00000000-0005-0000-0000-0000DF200000}"/>
    <cellStyle name="Note 2 2 5 2 2" xfId="7873" xr:uid="{00000000-0005-0000-0000-0000E0200000}"/>
    <cellStyle name="Note 2 2 5 2 2 2" xfId="16323" xr:uid="{0DD845A4-25E6-4896-8852-A2F8AC7605F6}"/>
    <cellStyle name="Note 2 2 5 2 3" xfId="12105" xr:uid="{88134A4A-0148-4516-8895-E8BCB81939AC}"/>
    <cellStyle name="Note 2 2 5 3" xfId="5728" xr:uid="{00000000-0005-0000-0000-0000E1200000}"/>
    <cellStyle name="Note 2 2 5 3 2" xfId="14178" xr:uid="{4B74A05A-6F08-4E13-B924-3F9474EBEAE2}"/>
    <cellStyle name="Note 2 2 5 4" xfId="9960" xr:uid="{20261583-0BAD-4926-A976-8BB8B6D11DC2}"/>
    <cellStyle name="Note 2 2 6" xfId="1835" xr:uid="{00000000-0005-0000-0000-0000E2200000}"/>
    <cellStyle name="Note 2 2 6 2" xfId="4064" xr:uid="{00000000-0005-0000-0000-0000E3200000}"/>
    <cellStyle name="Note 2 2 6 2 2" xfId="8286" xr:uid="{00000000-0005-0000-0000-0000E4200000}"/>
    <cellStyle name="Note 2 2 6 2 2 2" xfId="16736" xr:uid="{9F847F9A-AFF9-4315-9A71-D2D98510D7DC}"/>
    <cellStyle name="Note 2 2 6 2 3" xfId="12518" xr:uid="{19E39903-6A8B-40D2-B5D3-6487BF36F100}"/>
    <cellStyle name="Note 2 2 6 3" xfId="6141" xr:uid="{00000000-0005-0000-0000-0000E5200000}"/>
    <cellStyle name="Note 2 2 6 3 2" xfId="14591" xr:uid="{7FBA6D25-6315-4CF0-9F08-118D67CC5A04}"/>
    <cellStyle name="Note 2 2 6 4" xfId="10373" xr:uid="{5C279767-BE9A-4C6A-8743-62F8812AFCFB}"/>
    <cellStyle name="Note 2 2 7" xfId="2248" xr:uid="{00000000-0005-0000-0000-0000E6200000}"/>
    <cellStyle name="Note 2 2 7 2" xfId="4477" xr:uid="{00000000-0005-0000-0000-0000E7200000}"/>
    <cellStyle name="Note 2 2 7 2 2" xfId="8699" xr:uid="{00000000-0005-0000-0000-0000E8200000}"/>
    <cellStyle name="Note 2 2 7 2 2 2" xfId="17149" xr:uid="{2DFBF257-01F0-4D2F-97CC-FCD9D61E09EB}"/>
    <cellStyle name="Note 2 2 7 2 3" xfId="12931" xr:uid="{30FBFEF2-2A28-4011-8C43-C88E7F34C5BA}"/>
    <cellStyle name="Note 2 2 7 3" xfId="6554" xr:uid="{00000000-0005-0000-0000-0000E9200000}"/>
    <cellStyle name="Note 2 2 7 3 2" xfId="15004" xr:uid="{BDFC4F92-BAC8-412D-AAE9-E789AC60ED78}"/>
    <cellStyle name="Note 2 2 7 4" xfId="10786" xr:uid="{1B78E9E0-8B9B-443D-B8F0-1CDEBA91F7FE}"/>
    <cellStyle name="Note 2 2 8" xfId="2684" xr:uid="{00000000-0005-0000-0000-0000EA200000}"/>
    <cellStyle name="Note 2 2 8 2" xfId="6967" xr:uid="{00000000-0005-0000-0000-0000EB200000}"/>
    <cellStyle name="Note 2 2 8 2 2" xfId="15417" xr:uid="{7FED2857-9F8E-4302-96C4-0A63FCF8447A}"/>
    <cellStyle name="Note 2 2 8 3" xfId="11199" xr:uid="{DBD48A7B-DFEA-4AE5-B653-57CAB95ED9F4}"/>
    <cellStyle name="Note 2 2 9" xfId="2743" xr:uid="{00000000-0005-0000-0000-0000EC200000}"/>
    <cellStyle name="Note 2 3" xfId="549" xr:uid="{00000000-0005-0000-0000-0000ED200000}"/>
    <cellStyle name="Note 2 3 10" xfId="4906" xr:uid="{00000000-0005-0000-0000-0000EE200000}"/>
    <cellStyle name="Note 2 3 10 2" xfId="13356" xr:uid="{85432F4A-ED76-42CE-9E39-104D3C487DEC}"/>
    <cellStyle name="Note 2 3 11" xfId="9138" xr:uid="{150D5F66-930E-4F99-AAA5-1A65F3976F6F}"/>
    <cellStyle name="Note 2 3 2" xfId="550" xr:uid="{00000000-0005-0000-0000-0000EF200000}"/>
    <cellStyle name="Note 2 3 2 10" xfId="9139" xr:uid="{43396D1C-1C70-4227-8BE9-50AD5E688189}"/>
    <cellStyle name="Note 2 3 2 2" xfId="1011" xr:uid="{00000000-0005-0000-0000-0000F0200000}"/>
    <cellStyle name="Note 2 3 2 2 2" xfId="3243" xr:uid="{00000000-0005-0000-0000-0000F1200000}"/>
    <cellStyle name="Note 2 3 2 2 2 2" xfId="7465" xr:uid="{00000000-0005-0000-0000-0000F2200000}"/>
    <cellStyle name="Note 2 3 2 2 2 2 2" xfId="15915" xr:uid="{AA5086F6-DC32-4911-9C36-5F55C768ECEC}"/>
    <cellStyle name="Note 2 3 2 2 2 3" xfId="11697" xr:uid="{113307DF-451B-41F7-8828-C19CC531C179}"/>
    <cellStyle name="Note 2 3 2 2 3" xfId="5320" xr:uid="{00000000-0005-0000-0000-0000F3200000}"/>
    <cellStyle name="Note 2 3 2 2 3 2" xfId="13770" xr:uid="{82C417B2-812A-4231-B3C3-470CB4D35A96}"/>
    <cellStyle name="Note 2 3 2 2 4" xfId="9552" xr:uid="{7D80332F-D7B8-4244-9957-8C16E514C611}"/>
    <cellStyle name="Note 2 3 2 3" xfId="1426" xr:uid="{00000000-0005-0000-0000-0000F4200000}"/>
    <cellStyle name="Note 2 3 2 3 2" xfId="3656" xr:uid="{00000000-0005-0000-0000-0000F5200000}"/>
    <cellStyle name="Note 2 3 2 3 2 2" xfId="7878" xr:uid="{00000000-0005-0000-0000-0000F6200000}"/>
    <cellStyle name="Note 2 3 2 3 2 2 2" xfId="16328" xr:uid="{7B523F0A-E5E8-48FC-8670-A45EC9BFBE4E}"/>
    <cellStyle name="Note 2 3 2 3 2 3" xfId="12110" xr:uid="{F2CEA130-ECAB-4539-BFC3-5E5D55FB224E}"/>
    <cellStyle name="Note 2 3 2 3 3" xfId="5733" xr:uid="{00000000-0005-0000-0000-0000F7200000}"/>
    <cellStyle name="Note 2 3 2 3 3 2" xfId="14183" xr:uid="{AB9F081F-5CA1-48D2-BBED-BEB0259C2541}"/>
    <cellStyle name="Note 2 3 2 3 4" xfId="9965" xr:uid="{BB7D2E25-C0BE-477D-8ACD-589F529E10C8}"/>
    <cellStyle name="Note 2 3 2 4" xfId="1840" xr:uid="{00000000-0005-0000-0000-0000F8200000}"/>
    <cellStyle name="Note 2 3 2 4 2" xfId="4069" xr:uid="{00000000-0005-0000-0000-0000F9200000}"/>
    <cellStyle name="Note 2 3 2 4 2 2" xfId="8291" xr:uid="{00000000-0005-0000-0000-0000FA200000}"/>
    <cellStyle name="Note 2 3 2 4 2 2 2" xfId="16741" xr:uid="{96D07BC2-BC2D-43A0-981C-825578D94646}"/>
    <cellStyle name="Note 2 3 2 4 2 3" xfId="12523" xr:uid="{B89386ED-DE9C-4E7B-97B4-E2ACF0D7003F}"/>
    <cellStyle name="Note 2 3 2 4 3" xfId="6146" xr:uid="{00000000-0005-0000-0000-0000FB200000}"/>
    <cellStyle name="Note 2 3 2 4 3 2" xfId="14596" xr:uid="{8F2F30A5-51F9-4AEF-B8F6-B005575DEAB7}"/>
    <cellStyle name="Note 2 3 2 4 4" xfId="10378" xr:uid="{CDE4BAD8-5031-4897-9AF7-00A9B6488C2E}"/>
    <cellStyle name="Note 2 3 2 5" xfId="2253" xr:uid="{00000000-0005-0000-0000-0000FC200000}"/>
    <cellStyle name="Note 2 3 2 5 2" xfId="4482" xr:uid="{00000000-0005-0000-0000-0000FD200000}"/>
    <cellStyle name="Note 2 3 2 5 2 2" xfId="8704" xr:uid="{00000000-0005-0000-0000-0000FE200000}"/>
    <cellStyle name="Note 2 3 2 5 2 2 2" xfId="17154" xr:uid="{B2A01360-7C06-46C7-9A0F-0CC75DFE8C24}"/>
    <cellStyle name="Note 2 3 2 5 2 3" xfId="12936" xr:uid="{C862D227-3BDF-4545-B6FA-30C2C4B4F764}"/>
    <cellStyle name="Note 2 3 2 5 3" xfId="6559" xr:uid="{00000000-0005-0000-0000-0000FF200000}"/>
    <cellStyle name="Note 2 3 2 5 3 2" xfId="15009" xr:uid="{A38016BC-2B3D-4EAD-A306-6BDFE10C03D7}"/>
    <cellStyle name="Note 2 3 2 5 4" xfId="10791" xr:uid="{C7B0040D-F57F-4AB5-ADDE-B6BBFC1E062E}"/>
    <cellStyle name="Note 2 3 2 6" xfId="2689" xr:uid="{00000000-0005-0000-0000-000000210000}"/>
    <cellStyle name="Note 2 3 2 6 2" xfId="6972" xr:uid="{00000000-0005-0000-0000-000001210000}"/>
    <cellStyle name="Note 2 3 2 6 2 2" xfId="15422" xr:uid="{CA762901-5670-4D6A-A802-67C79232ECF3}"/>
    <cellStyle name="Note 2 3 2 6 3" xfId="11204" xr:uid="{1DBE151F-9C7C-49C8-A472-9C1E2C42513F}"/>
    <cellStyle name="Note 2 3 2 7" xfId="2748" xr:uid="{00000000-0005-0000-0000-000002210000}"/>
    <cellStyle name="Note 2 3 2 8" xfId="2829" xr:uid="{00000000-0005-0000-0000-000003210000}"/>
    <cellStyle name="Note 2 3 2 8 2" xfId="7052" xr:uid="{00000000-0005-0000-0000-000004210000}"/>
    <cellStyle name="Note 2 3 2 8 2 2" xfId="15502" xr:uid="{B9C88AA5-DE37-4282-B24A-DF7F6CED0753}"/>
    <cellStyle name="Note 2 3 2 8 3" xfId="11284" xr:uid="{BBA801A7-41FC-44FE-8AFF-B70DA4031592}"/>
    <cellStyle name="Note 2 3 2 9" xfId="4907" xr:uid="{00000000-0005-0000-0000-000005210000}"/>
    <cellStyle name="Note 2 3 2 9 2" xfId="13357" xr:uid="{42C0EAAB-D606-4850-BAFE-6200F8EC3D91}"/>
    <cellStyle name="Note 2 3 3" xfId="1010" xr:uid="{00000000-0005-0000-0000-000006210000}"/>
    <cellStyle name="Note 2 3 3 2" xfId="3242" xr:uid="{00000000-0005-0000-0000-000007210000}"/>
    <cellStyle name="Note 2 3 3 2 2" xfId="7464" xr:uid="{00000000-0005-0000-0000-000008210000}"/>
    <cellStyle name="Note 2 3 3 2 2 2" xfId="15914" xr:uid="{7246C228-6B35-41FF-ACD4-D38BB040C839}"/>
    <cellStyle name="Note 2 3 3 2 3" xfId="11696" xr:uid="{C030FC26-CDDA-4EC7-9BD7-9933FEBC57C5}"/>
    <cellStyle name="Note 2 3 3 3" xfId="5319" xr:uid="{00000000-0005-0000-0000-000009210000}"/>
    <cellStyle name="Note 2 3 3 3 2" xfId="13769" xr:uid="{AEBAB0AD-9D78-43C7-9B3F-807A5174290F}"/>
    <cellStyle name="Note 2 3 3 4" xfId="9551" xr:uid="{05AD3C95-52EB-4162-8FDA-8790D19764DF}"/>
    <cellStyle name="Note 2 3 4" xfId="1425" xr:uid="{00000000-0005-0000-0000-00000A210000}"/>
    <cellStyle name="Note 2 3 4 2" xfId="3655" xr:uid="{00000000-0005-0000-0000-00000B210000}"/>
    <cellStyle name="Note 2 3 4 2 2" xfId="7877" xr:uid="{00000000-0005-0000-0000-00000C210000}"/>
    <cellStyle name="Note 2 3 4 2 2 2" xfId="16327" xr:uid="{815558F1-A5AA-4DBC-B18A-E0C070569B53}"/>
    <cellStyle name="Note 2 3 4 2 3" xfId="12109" xr:uid="{63A6AD6A-E4AE-44F6-886A-C395FF8648EB}"/>
    <cellStyle name="Note 2 3 4 3" xfId="5732" xr:uid="{00000000-0005-0000-0000-00000D210000}"/>
    <cellStyle name="Note 2 3 4 3 2" xfId="14182" xr:uid="{25DC1262-E461-4D7E-9E36-6B5BD3EF3A62}"/>
    <cellStyle name="Note 2 3 4 4" xfId="9964" xr:uid="{7BC8D267-094C-4132-BDA3-D2297F087080}"/>
    <cellStyle name="Note 2 3 5" xfId="1839" xr:uid="{00000000-0005-0000-0000-00000E210000}"/>
    <cellStyle name="Note 2 3 5 2" xfId="4068" xr:uid="{00000000-0005-0000-0000-00000F210000}"/>
    <cellStyle name="Note 2 3 5 2 2" xfId="8290" xr:uid="{00000000-0005-0000-0000-000010210000}"/>
    <cellStyle name="Note 2 3 5 2 2 2" xfId="16740" xr:uid="{7724AB1D-EB59-49FA-AE5C-854F1CE2B837}"/>
    <cellStyle name="Note 2 3 5 2 3" xfId="12522" xr:uid="{E7076DAF-B05F-4716-A981-983D0907FD42}"/>
    <cellStyle name="Note 2 3 5 3" xfId="6145" xr:uid="{00000000-0005-0000-0000-000011210000}"/>
    <cellStyle name="Note 2 3 5 3 2" xfId="14595" xr:uid="{3EA279BE-4252-4D17-8521-2C4F8D62572A}"/>
    <cellStyle name="Note 2 3 5 4" xfId="10377" xr:uid="{C7D6B68A-3AAE-457C-BF18-C34A6A3860BE}"/>
    <cellStyle name="Note 2 3 6" xfId="2252" xr:uid="{00000000-0005-0000-0000-000012210000}"/>
    <cellStyle name="Note 2 3 6 2" xfId="4481" xr:uid="{00000000-0005-0000-0000-000013210000}"/>
    <cellStyle name="Note 2 3 6 2 2" xfId="8703" xr:uid="{00000000-0005-0000-0000-000014210000}"/>
    <cellStyle name="Note 2 3 6 2 2 2" xfId="17153" xr:uid="{A4A2F26A-8ED9-4D45-9B3A-E06324028C38}"/>
    <cellStyle name="Note 2 3 6 2 3" xfId="12935" xr:uid="{910657A3-4FBA-482D-B430-D43756921E10}"/>
    <cellStyle name="Note 2 3 6 3" xfId="6558" xr:uid="{00000000-0005-0000-0000-000015210000}"/>
    <cellStyle name="Note 2 3 6 3 2" xfId="15008" xr:uid="{AFB58CA4-6916-4A13-8AE6-FC205C72F8DD}"/>
    <cellStyle name="Note 2 3 6 4" xfId="10790" xr:uid="{3396729F-CEA5-4BED-AC54-FC6BB68143E3}"/>
    <cellStyle name="Note 2 3 7" xfId="2688" xr:uid="{00000000-0005-0000-0000-000016210000}"/>
    <cellStyle name="Note 2 3 7 2" xfId="6971" xr:uid="{00000000-0005-0000-0000-000017210000}"/>
    <cellStyle name="Note 2 3 7 2 2" xfId="15421" xr:uid="{185FC53D-98F3-407E-BBF7-F105601E3060}"/>
    <cellStyle name="Note 2 3 7 3" xfId="11203" xr:uid="{F130F316-2E1A-44A5-86EB-B497D87E36DA}"/>
    <cellStyle name="Note 2 3 8" xfId="2747" xr:uid="{00000000-0005-0000-0000-000018210000}"/>
    <cellStyle name="Note 2 3 9" xfId="2828" xr:uid="{00000000-0005-0000-0000-000019210000}"/>
    <cellStyle name="Note 2 3 9 2" xfId="7051" xr:uid="{00000000-0005-0000-0000-00001A210000}"/>
    <cellStyle name="Note 2 3 9 2 2" xfId="15501" xr:uid="{68ECD99B-4F1C-4247-9FDF-1714D5B736FE}"/>
    <cellStyle name="Note 2 3 9 3" xfId="11283" xr:uid="{7F3C28CB-8D2C-4880-AE47-1678ECA5856D}"/>
    <cellStyle name="Note 2 4" xfId="551" xr:uid="{00000000-0005-0000-0000-00001B210000}"/>
    <cellStyle name="Note 2 4 10" xfId="9140" xr:uid="{7C0EE13B-F3FE-4251-A889-C5DCF79A3BDC}"/>
    <cellStyle name="Note 2 4 2" xfId="1012" xr:uid="{00000000-0005-0000-0000-00001C210000}"/>
    <cellStyle name="Note 2 4 2 2" xfId="3244" xr:uid="{00000000-0005-0000-0000-00001D210000}"/>
    <cellStyle name="Note 2 4 2 2 2" xfId="7466" xr:uid="{00000000-0005-0000-0000-00001E210000}"/>
    <cellStyle name="Note 2 4 2 2 2 2" xfId="15916" xr:uid="{29D085F7-9142-4AEA-B9B9-0CE13D9EA6FF}"/>
    <cellStyle name="Note 2 4 2 2 3" xfId="11698" xr:uid="{6186339F-CA5B-4BCC-B0CA-CCF7B149B13F}"/>
    <cellStyle name="Note 2 4 2 3" xfId="5321" xr:uid="{00000000-0005-0000-0000-00001F210000}"/>
    <cellStyle name="Note 2 4 2 3 2" xfId="13771" xr:uid="{0F6D226D-265B-45A7-B070-647CB83FCD17}"/>
    <cellStyle name="Note 2 4 2 4" xfId="9553" xr:uid="{7E27EBF1-4561-4D8F-9129-F254772B103C}"/>
    <cellStyle name="Note 2 4 3" xfId="1427" xr:uid="{00000000-0005-0000-0000-000020210000}"/>
    <cellStyle name="Note 2 4 3 2" xfId="3657" xr:uid="{00000000-0005-0000-0000-000021210000}"/>
    <cellStyle name="Note 2 4 3 2 2" xfId="7879" xr:uid="{00000000-0005-0000-0000-000022210000}"/>
    <cellStyle name="Note 2 4 3 2 2 2" xfId="16329" xr:uid="{E6419F51-B7F7-4A3B-83C2-AE624CE4F628}"/>
    <cellStyle name="Note 2 4 3 2 3" xfId="12111" xr:uid="{44DC423B-DC97-42E3-ABD8-13739AC51B1E}"/>
    <cellStyle name="Note 2 4 3 3" xfId="5734" xr:uid="{00000000-0005-0000-0000-000023210000}"/>
    <cellStyle name="Note 2 4 3 3 2" xfId="14184" xr:uid="{902BCEE7-D8D1-49AD-B9CF-8F9F2064F408}"/>
    <cellStyle name="Note 2 4 3 4" xfId="9966" xr:uid="{78F0AA9B-505A-4592-81DC-77455CD916D7}"/>
    <cellStyle name="Note 2 4 4" xfId="1841" xr:uid="{00000000-0005-0000-0000-000024210000}"/>
    <cellStyle name="Note 2 4 4 2" xfId="4070" xr:uid="{00000000-0005-0000-0000-000025210000}"/>
    <cellStyle name="Note 2 4 4 2 2" xfId="8292" xr:uid="{00000000-0005-0000-0000-000026210000}"/>
    <cellStyle name="Note 2 4 4 2 2 2" xfId="16742" xr:uid="{473A0049-7CC4-4A29-9D9F-2A27D3C7C7BE}"/>
    <cellStyle name="Note 2 4 4 2 3" xfId="12524" xr:uid="{6D632185-749C-445C-8750-C0BE10C57C81}"/>
    <cellStyle name="Note 2 4 4 3" xfId="6147" xr:uid="{00000000-0005-0000-0000-000027210000}"/>
    <cellStyle name="Note 2 4 4 3 2" xfId="14597" xr:uid="{E5A9F3B7-0D3B-4865-8F41-1E913C47CB63}"/>
    <cellStyle name="Note 2 4 4 4" xfId="10379" xr:uid="{7501F3ED-CACE-45F6-A978-CC58D0D012BA}"/>
    <cellStyle name="Note 2 4 5" xfId="2254" xr:uid="{00000000-0005-0000-0000-000028210000}"/>
    <cellStyle name="Note 2 4 5 2" xfId="4483" xr:uid="{00000000-0005-0000-0000-000029210000}"/>
    <cellStyle name="Note 2 4 5 2 2" xfId="8705" xr:uid="{00000000-0005-0000-0000-00002A210000}"/>
    <cellStyle name="Note 2 4 5 2 2 2" xfId="17155" xr:uid="{6FB591F0-F39B-4B28-B814-EB1450B0188F}"/>
    <cellStyle name="Note 2 4 5 2 3" xfId="12937" xr:uid="{19BE99D3-3FD2-494D-B575-5A501AFECEFB}"/>
    <cellStyle name="Note 2 4 5 3" xfId="6560" xr:uid="{00000000-0005-0000-0000-00002B210000}"/>
    <cellStyle name="Note 2 4 5 3 2" xfId="15010" xr:uid="{36A1E1AC-2BC5-4730-9B53-61490731BBEE}"/>
    <cellStyle name="Note 2 4 5 4" xfId="10792" xr:uid="{E07118AD-4AA8-4419-A0D9-98B8F9168AA6}"/>
    <cellStyle name="Note 2 4 6" xfId="2690" xr:uid="{00000000-0005-0000-0000-00002C210000}"/>
    <cellStyle name="Note 2 4 6 2" xfId="6973" xr:uid="{00000000-0005-0000-0000-00002D210000}"/>
    <cellStyle name="Note 2 4 6 2 2" xfId="15423" xr:uid="{2DF7DFF7-708F-450D-82E7-DAC175B66C05}"/>
    <cellStyle name="Note 2 4 6 3" xfId="11205" xr:uid="{D8E02929-E0B8-4A1F-8B67-61BAFF89DA75}"/>
    <cellStyle name="Note 2 4 7" xfId="2749" xr:uid="{00000000-0005-0000-0000-00002E210000}"/>
    <cellStyle name="Note 2 4 8" xfId="2830" xr:uid="{00000000-0005-0000-0000-00002F210000}"/>
    <cellStyle name="Note 2 4 8 2" xfId="7053" xr:uid="{00000000-0005-0000-0000-000030210000}"/>
    <cellStyle name="Note 2 4 8 2 2" xfId="15503" xr:uid="{CBE075CA-B2B9-4BCA-A4EF-19F0BF413273}"/>
    <cellStyle name="Note 2 4 8 3" xfId="11285" xr:uid="{FC605A6A-D994-4A83-A57C-227EDD5D4D92}"/>
    <cellStyle name="Note 2 4 9" xfId="4908" xr:uid="{00000000-0005-0000-0000-000031210000}"/>
    <cellStyle name="Note 2 4 9 2" xfId="13358" xr:uid="{4BB1DA19-2DF0-4BB9-9D26-0919483503D2}"/>
    <cellStyle name="Note 2 5" xfId="552" xr:uid="{00000000-0005-0000-0000-000032210000}"/>
    <cellStyle name="Note 2 5 10" xfId="9141" xr:uid="{D6619242-D8AE-4DDE-9EB3-281721EB4EB0}"/>
    <cellStyle name="Note 2 5 2" xfId="1013" xr:uid="{00000000-0005-0000-0000-000033210000}"/>
    <cellStyle name="Note 2 5 2 2" xfId="3245" xr:uid="{00000000-0005-0000-0000-000034210000}"/>
    <cellStyle name="Note 2 5 2 2 2" xfId="7467" xr:uid="{00000000-0005-0000-0000-000035210000}"/>
    <cellStyle name="Note 2 5 2 2 2 2" xfId="15917" xr:uid="{0E6084EA-4EB2-4831-A197-B6A81E0553C7}"/>
    <cellStyle name="Note 2 5 2 2 3" xfId="11699" xr:uid="{9B1727D1-8FE2-4EE2-BC4B-9526A161901C}"/>
    <cellStyle name="Note 2 5 2 3" xfId="5322" xr:uid="{00000000-0005-0000-0000-000036210000}"/>
    <cellStyle name="Note 2 5 2 3 2" xfId="13772" xr:uid="{BE92A730-B02D-4B74-B3F7-84CC4AF7BD1A}"/>
    <cellStyle name="Note 2 5 2 4" xfId="9554" xr:uid="{771F666B-1294-48C7-A7BE-5E3A998BD514}"/>
    <cellStyle name="Note 2 5 3" xfId="1428" xr:uid="{00000000-0005-0000-0000-000037210000}"/>
    <cellStyle name="Note 2 5 3 2" xfId="3658" xr:uid="{00000000-0005-0000-0000-000038210000}"/>
    <cellStyle name="Note 2 5 3 2 2" xfId="7880" xr:uid="{00000000-0005-0000-0000-000039210000}"/>
    <cellStyle name="Note 2 5 3 2 2 2" xfId="16330" xr:uid="{92C8AC32-94E3-466A-95D5-D3FA45DB4333}"/>
    <cellStyle name="Note 2 5 3 2 3" xfId="12112" xr:uid="{1F9EADC0-4B82-4DC4-84CD-845D9238C78E}"/>
    <cellStyle name="Note 2 5 3 3" xfId="5735" xr:uid="{00000000-0005-0000-0000-00003A210000}"/>
    <cellStyle name="Note 2 5 3 3 2" xfId="14185" xr:uid="{C9B054D3-06C7-4616-8395-D399A9A82B6D}"/>
    <cellStyle name="Note 2 5 3 4" xfId="9967" xr:uid="{D1B4CB20-A091-4AEF-B6A6-5F5727C0576D}"/>
    <cellStyle name="Note 2 5 4" xfId="1842" xr:uid="{00000000-0005-0000-0000-00003B210000}"/>
    <cellStyle name="Note 2 5 4 2" xfId="4071" xr:uid="{00000000-0005-0000-0000-00003C210000}"/>
    <cellStyle name="Note 2 5 4 2 2" xfId="8293" xr:uid="{00000000-0005-0000-0000-00003D210000}"/>
    <cellStyle name="Note 2 5 4 2 2 2" xfId="16743" xr:uid="{1752FA22-C809-47C3-8673-B1B2C0C9EA6B}"/>
    <cellStyle name="Note 2 5 4 2 3" xfId="12525" xr:uid="{231964FC-3875-44A3-A862-7BFF122AB7C6}"/>
    <cellStyle name="Note 2 5 4 3" xfId="6148" xr:uid="{00000000-0005-0000-0000-00003E210000}"/>
    <cellStyle name="Note 2 5 4 3 2" xfId="14598" xr:uid="{0BA87E6C-5F2A-429D-9E52-B8416799D37E}"/>
    <cellStyle name="Note 2 5 4 4" xfId="10380" xr:uid="{8758293C-7E58-4D2A-B746-16DA5E4D3282}"/>
    <cellStyle name="Note 2 5 5" xfId="2255" xr:uid="{00000000-0005-0000-0000-00003F210000}"/>
    <cellStyle name="Note 2 5 5 2" xfId="4484" xr:uid="{00000000-0005-0000-0000-000040210000}"/>
    <cellStyle name="Note 2 5 5 2 2" xfId="8706" xr:uid="{00000000-0005-0000-0000-000041210000}"/>
    <cellStyle name="Note 2 5 5 2 2 2" xfId="17156" xr:uid="{718E9EF4-F856-4FDF-B23E-68F54CD1447A}"/>
    <cellStyle name="Note 2 5 5 2 3" xfId="12938" xr:uid="{98EE93F9-B9D7-40DC-8A25-0891FECCBB59}"/>
    <cellStyle name="Note 2 5 5 3" xfId="6561" xr:uid="{00000000-0005-0000-0000-000042210000}"/>
    <cellStyle name="Note 2 5 5 3 2" xfId="15011" xr:uid="{9BD8E94C-7171-4A68-9555-3458B2931EFD}"/>
    <cellStyle name="Note 2 5 5 4" xfId="10793" xr:uid="{623D1CF6-C415-4F35-870C-6B1C806760E6}"/>
    <cellStyle name="Note 2 5 6" xfId="2691" xr:uid="{00000000-0005-0000-0000-000043210000}"/>
    <cellStyle name="Note 2 5 6 2" xfId="6974" xr:uid="{00000000-0005-0000-0000-000044210000}"/>
    <cellStyle name="Note 2 5 6 2 2" xfId="15424" xr:uid="{7506BCE3-392C-48A8-A0DA-271DC023E8BC}"/>
    <cellStyle name="Note 2 5 6 3" xfId="11206" xr:uid="{ECD502EA-C9AF-40FA-BBCF-1E8EE7C2BD7B}"/>
    <cellStyle name="Note 2 5 7" xfId="2750" xr:uid="{00000000-0005-0000-0000-000045210000}"/>
    <cellStyle name="Note 2 5 8" xfId="2831" xr:uid="{00000000-0005-0000-0000-000046210000}"/>
    <cellStyle name="Note 2 5 8 2" xfId="7054" xr:uid="{00000000-0005-0000-0000-000047210000}"/>
    <cellStyle name="Note 2 5 8 2 2" xfId="15504" xr:uid="{33E6ECC3-6F6E-4B50-B7CB-3B3A5C4C538C}"/>
    <cellStyle name="Note 2 5 8 3" xfId="11286" xr:uid="{F7E4E815-8CBD-4884-972C-F83D0B02E302}"/>
    <cellStyle name="Note 2 5 9" xfId="4909" xr:uid="{00000000-0005-0000-0000-000048210000}"/>
    <cellStyle name="Note 2 5 9 2" xfId="13359" xr:uid="{E5840F31-060F-4453-AD60-22C2C04B4462}"/>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2C924225-A065-4BCB-975B-87111A56AAF1}"/>
    <cellStyle name="Note 3 2 10 3" xfId="11287" xr:uid="{73D715F8-84B3-47E8-91E3-7B379E56F7E1}"/>
    <cellStyle name="Note 3 2 11" xfId="4910" xr:uid="{00000000-0005-0000-0000-00004D210000}"/>
    <cellStyle name="Note 3 2 11 2" xfId="13360" xr:uid="{A3A622CC-54B1-4ACB-ADFA-9FC0F25970AF}"/>
    <cellStyle name="Note 3 2 12" xfId="9142" xr:uid="{B76ADD52-4D72-4C0A-8F57-90B831E5A51A}"/>
    <cellStyle name="Note 3 2 2" xfId="555" xr:uid="{00000000-0005-0000-0000-00004E210000}"/>
    <cellStyle name="Note 3 2 2 10" xfId="4911" xr:uid="{00000000-0005-0000-0000-00004F210000}"/>
    <cellStyle name="Note 3 2 2 10 2" xfId="13361" xr:uid="{B08AE4CC-E6B5-43EE-AE62-086B3B430790}"/>
    <cellStyle name="Note 3 2 2 11" xfId="9143" xr:uid="{4DA4FB88-51C9-4E01-B52C-D5D121EDADA4}"/>
    <cellStyle name="Note 3 2 2 2" xfId="556" xr:uid="{00000000-0005-0000-0000-000050210000}"/>
    <cellStyle name="Note 3 2 2 2 10" xfId="9144" xr:uid="{8E4A4CB7-8C89-44C3-974F-92668ADD30C4}"/>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287A6262-0FCD-4DBC-89DA-395F55E5E566}"/>
    <cellStyle name="Note 3 2 2 2 2 2 3" xfId="11702" xr:uid="{AE4252EF-9EFE-456A-935C-A21B7FA8C032}"/>
    <cellStyle name="Note 3 2 2 2 2 3" xfId="5325" xr:uid="{00000000-0005-0000-0000-000054210000}"/>
    <cellStyle name="Note 3 2 2 2 2 3 2" xfId="13775" xr:uid="{520C8DE2-76B0-4D8A-A663-91843FE97E90}"/>
    <cellStyle name="Note 3 2 2 2 2 4" xfId="9557" xr:uid="{5A56A700-9676-4C53-9749-38B2EC0F0DEC}"/>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89AE888B-0DFF-4E18-9011-00BD794E2CCA}"/>
    <cellStyle name="Note 3 2 2 2 3 2 3" xfId="12115" xr:uid="{3EEF7D23-70B1-4124-B230-1C467EE98BE0}"/>
    <cellStyle name="Note 3 2 2 2 3 3" xfId="5738" xr:uid="{00000000-0005-0000-0000-000058210000}"/>
    <cellStyle name="Note 3 2 2 2 3 3 2" xfId="14188" xr:uid="{71BC0ADA-BAD3-40B7-BDBF-7B77FC66A456}"/>
    <cellStyle name="Note 3 2 2 2 3 4" xfId="9970" xr:uid="{5A8766DE-954F-48DC-B468-3BDE3441C4AB}"/>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EA25BD28-E27D-4EC0-8332-FE7D06CE08A2}"/>
    <cellStyle name="Note 3 2 2 2 4 2 3" xfId="12528" xr:uid="{D3902303-59B7-4F3B-8D9F-CB6F1D2FE6BA}"/>
    <cellStyle name="Note 3 2 2 2 4 3" xfId="6151" xr:uid="{00000000-0005-0000-0000-00005C210000}"/>
    <cellStyle name="Note 3 2 2 2 4 3 2" xfId="14601" xr:uid="{027F4000-5222-493F-BC3F-C6FDB9A2CFC7}"/>
    <cellStyle name="Note 3 2 2 2 4 4" xfId="10383" xr:uid="{7B5519DC-475D-4164-AF22-097BF7CDA34B}"/>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11328695-3BFC-4F05-BF38-10BD7D5CE3DA}"/>
    <cellStyle name="Note 3 2 2 2 5 2 3" xfId="12941" xr:uid="{43CE5AD4-9575-4368-B9B2-305727F7C354}"/>
    <cellStyle name="Note 3 2 2 2 5 3" xfId="6564" xr:uid="{00000000-0005-0000-0000-000060210000}"/>
    <cellStyle name="Note 3 2 2 2 5 3 2" xfId="15014" xr:uid="{E476C815-BBC5-430A-907C-F1D7F3C91284}"/>
    <cellStyle name="Note 3 2 2 2 5 4" xfId="10796" xr:uid="{A7AED57E-369B-48BB-BC08-0BAE635F86BC}"/>
    <cellStyle name="Note 3 2 2 2 6" xfId="2694" xr:uid="{00000000-0005-0000-0000-000061210000}"/>
    <cellStyle name="Note 3 2 2 2 6 2" xfId="6977" xr:uid="{00000000-0005-0000-0000-000062210000}"/>
    <cellStyle name="Note 3 2 2 2 6 2 2" xfId="15427" xr:uid="{85041888-FF79-4CE7-B23E-82446E3C30BE}"/>
    <cellStyle name="Note 3 2 2 2 6 3" xfId="11209" xr:uid="{2898E53F-A693-4CD3-8CC1-EECAF174CAE1}"/>
    <cellStyle name="Note 3 2 2 2 7" xfId="2753" xr:uid="{00000000-0005-0000-0000-000063210000}"/>
    <cellStyle name="Note 3 2 2 2 8" xfId="2834" xr:uid="{00000000-0005-0000-0000-000064210000}"/>
    <cellStyle name="Note 3 2 2 2 8 2" xfId="7057" xr:uid="{00000000-0005-0000-0000-000065210000}"/>
    <cellStyle name="Note 3 2 2 2 8 2 2" xfId="15507" xr:uid="{6A6053AA-DE32-4915-83A0-EB739E79E5BC}"/>
    <cellStyle name="Note 3 2 2 2 8 3" xfId="11289" xr:uid="{A1499BF9-7ABF-44A2-B725-19EF308E0BA5}"/>
    <cellStyle name="Note 3 2 2 2 9" xfId="4912" xr:uid="{00000000-0005-0000-0000-000066210000}"/>
    <cellStyle name="Note 3 2 2 2 9 2" xfId="13362" xr:uid="{9FD2E1AE-4BF9-4766-B33A-86F4DE0B8232}"/>
    <cellStyle name="Note 3 2 2 3" xfId="1015" xr:uid="{00000000-0005-0000-0000-000067210000}"/>
    <cellStyle name="Note 3 2 2 3 2" xfId="3247" xr:uid="{00000000-0005-0000-0000-000068210000}"/>
    <cellStyle name="Note 3 2 2 3 2 2" xfId="7469" xr:uid="{00000000-0005-0000-0000-000069210000}"/>
    <cellStyle name="Note 3 2 2 3 2 2 2" xfId="15919" xr:uid="{CB731C83-4178-437F-BD58-EF63A8C57A2A}"/>
    <cellStyle name="Note 3 2 2 3 2 3" xfId="11701" xr:uid="{AD25537F-7356-42A8-8391-8EE3AC397290}"/>
    <cellStyle name="Note 3 2 2 3 3" xfId="5324" xr:uid="{00000000-0005-0000-0000-00006A210000}"/>
    <cellStyle name="Note 3 2 2 3 3 2" xfId="13774" xr:uid="{70D730F8-A401-40FF-9253-333BFDF0C067}"/>
    <cellStyle name="Note 3 2 2 3 4" xfId="9556" xr:uid="{A2E336AD-13D5-4B68-909D-528AC44089E9}"/>
    <cellStyle name="Note 3 2 2 4" xfId="1430" xr:uid="{00000000-0005-0000-0000-00006B210000}"/>
    <cellStyle name="Note 3 2 2 4 2" xfId="3660" xr:uid="{00000000-0005-0000-0000-00006C210000}"/>
    <cellStyle name="Note 3 2 2 4 2 2" xfId="7882" xr:uid="{00000000-0005-0000-0000-00006D210000}"/>
    <cellStyle name="Note 3 2 2 4 2 2 2" xfId="16332" xr:uid="{CA820D15-543B-4776-B719-25C90373B226}"/>
    <cellStyle name="Note 3 2 2 4 2 3" xfId="12114" xr:uid="{873E067E-63A2-4BBA-94C2-C454305FA32B}"/>
    <cellStyle name="Note 3 2 2 4 3" xfId="5737" xr:uid="{00000000-0005-0000-0000-00006E210000}"/>
    <cellStyle name="Note 3 2 2 4 3 2" xfId="14187" xr:uid="{961DCF94-92D3-44F9-893A-3A3881804560}"/>
    <cellStyle name="Note 3 2 2 4 4" xfId="9969" xr:uid="{7ACA4F71-73F4-42FB-BBA6-633DE49868C1}"/>
    <cellStyle name="Note 3 2 2 5" xfId="1844" xr:uid="{00000000-0005-0000-0000-00006F210000}"/>
    <cellStyle name="Note 3 2 2 5 2" xfId="4073" xr:uid="{00000000-0005-0000-0000-000070210000}"/>
    <cellStyle name="Note 3 2 2 5 2 2" xfId="8295" xr:uid="{00000000-0005-0000-0000-000071210000}"/>
    <cellStyle name="Note 3 2 2 5 2 2 2" xfId="16745" xr:uid="{AEF06B48-2BAE-4501-886A-D9C4CD41CAEF}"/>
    <cellStyle name="Note 3 2 2 5 2 3" xfId="12527" xr:uid="{1F3F9D52-A7F2-475D-9919-BF82DC3817B6}"/>
    <cellStyle name="Note 3 2 2 5 3" xfId="6150" xr:uid="{00000000-0005-0000-0000-000072210000}"/>
    <cellStyle name="Note 3 2 2 5 3 2" xfId="14600" xr:uid="{EDC9F6EB-2BEB-464A-8993-638B98EEED00}"/>
    <cellStyle name="Note 3 2 2 5 4" xfId="10382" xr:uid="{7D39C1D8-0F10-4CFA-A0C7-CB45036F757C}"/>
    <cellStyle name="Note 3 2 2 6" xfId="2257" xr:uid="{00000000-0005-0000-0000-000073210000}"/>
    <cellStyle name="Note 3 2 2 6 2" xfId="4486" xr:uid="{00000000-0005-0000-0000-000074210000}"/>
    <cellStyle name="Note 3 2 2 6 2 2" xfId="8708" xr:uid="{00000000-0005-0000-0000-000075210000}"/>
    <cellStyle name="Note 3 2 2 6 2 2 2" xfId="17158" xr:uid="{FC996350-AC51-4CD3-9FE4-C8193BC9AD67}"/>
    <cellStyle name="Note 3 2 2 6 2 3" xfId="12940" xr:uid="{0C786151-876C-479C-8543-87367F62CFEE}"/>
    <cellStyle name="Note 3 2 2 6 3" xfId="6563" xr:uid="{00000000-0005-0000-0000-000076210000}"/>
    <cellStyle name="Note 3 2 2 6 3 2" xfId="15013" xr:uid="{7D37CC4B-688A-408A-9164-B81AEB7197F3}"/>
    <cellStyle name="Note 3 2 2 6 4" xfId="10795" xr:uid="{EAA80995-1C07-46DF-98C0-421D7966BDF1}"/>
    <cellStyle name="Note 3 2 2 7" xfId="2693" xr:uid="{00000000-0005-0000-0000-000077210000}"/>
    <cellStyle name="Note 3 2 2 7 2" xfId="6976" xr:uid="{00000000-0005-0000-0000-000078210000}"/>
    <cellStyle name="Note 3 2 2 7 2 2" xfId="15426" xr:uid="{6FD92619-5E16-480D-AB19-CA46216BF191}"/>
    <cellStyle name="Note 3 2 2 7 3" xfId="11208" xr:uid="{6E684387-2952-470F-87DC-B82BEEBC3783}"/>
    <cellStyle name="Note 3 2 2 8" xfId="2752" xr:uid="{00000000-0005-0000-0000-000079210000}"/>
    <cellStyle name="Note 3 2 2 9" xfId="2833" xr:uid="{00000000-0005-0000-0000-00007A210000}"/>
    <cellStyle name="Note 3 2 2 9 2" xfId="7056" xr:uid="{00000000-0005-0000-0000-00007B210000}"/>
    <cellStyle name="Note 3 2 2 9 2 2" xfId="15506" xr:uid="{B0B44AF1-207E-4583-AEDD-3A2EC0D2D75B}"/>
    <cellStyle name="Note 3 2 2 9 3" xfId="11288" xr:uid="{53E85E4F-B901-4252-AF5D-6883C666306D}"/>
    <cellStyle name="Note 3 2 3" xfId="557" xr:uid="{00000000-0005-0000-0000-00007C210000}"/>
    <cellStyle name="Note 3 2 3 10" xfId="9145" xr:uid="{EA73EE7E-1AC8-41C8-BFF9-E0B828B51E88}"/>
    <cellStyle name="Note 3 2 3 2" xfId="1017" xr:uid="{00000000-0005-0000-0000-00007D210000}"/>
    <cellStyle name="Note 3 2 3 2 2" xfId="3249" xr:uid="{00000000-0005-0000-0000-00007E210000}"/>
    <cellStyle name="Note 3 2 3 2 2 2" xfId="7471" xr:uid="{00000000-0005-0000-0000-00007F210000}"/>
    <cellStyle name="Note 3 2 3 2 2 2 2" xfId="15921" xr:uid="{A3F02E21-70B5-467A-A79B-D6223B185AE9}"/>
    <cellStyle name="Note 3 2 3 2 2 3" xfId="11703" xr:uid="{C16CE933-4A90-4108-B6FA-B21EAE2DDDFA}"/>
    <cellStyle name="Note 3 2 3 2 3" xfId="5326" xr:uid="{00000000-0005-0000-0000-000080210000}"/>
    <cellStyle name="Note 3 2 3 2 3 2" xfId="13776" xr:uid="{5D6D8D78-B8B0-4B2D-A579-EA2749470689}"/>
    <cellStyle name="Note 3 2 3 2 4" xfId="9558" xr:uid="{1F701149-D67E-498A-AAEE-9D14D01EF179}"/>
    <cellStyle name="Note 3 2 3 3" xfId="1432" xr:uid="{00000000-0005-0000-0000-000081210000}"/>
    <cellStyle name="Note 3 2 3 3 2" xfId="3662" xr:uid="{00000000-0005-0000-0000-000082210000}"/>
    <cellStyle name="Note 3 2 3 3 2 2" xfId="7884" xr:uid="{00000000-0005-0000-0000-000083210000}"/>
    <cellStyle name="Note 3 2 3 3 2 2 2" xfId="16334" xr:uid="{68B6EDAB-0AF2-4A9A-AA5D-FBB29E98EF17}"/>
    <cellStyle name="Note 3 2 3 3 2 3" xfId="12116" xr:uid="{AC526265-28CE-4237-9AF6-E2B5C9015C63}"/>
    <cellStyle name="Note 3 2 3 3 3" xfId="5739" xr:uid="{00000000-0005-0000-0000-000084210000}"/>
    <cellStyle name="Note 3 2 3 3 3 2" xfId="14189" xr:uid="{A1A030C1-F878-404F-9395-C1317106B690}"/>
    <cellStyle name="Note 3 2 3 3 4" xfId="9971" xr:uid="{73F0AAE1-2A9A-42C1-B487-6E9D27E20FC7}"/>
    <cellStyle name="Note 3 2 3 4" xfId="1846" xr:uid="{00000000-0005-0000-0000-000085210000}"/>
    <cellStyle name="Note 3 2 3 4 2" xfId="4075" xr:uid="{00000000-0005-0000-0000-000086210000}"/>
    <cellStyle name="Note 3 2 3 4 2 2" xfId="8297" xr:uid="{00000000-0005-0000-0000-000087210000}"/>
    <cellStyle name="Note 3 2 3 4 2 2 2" xfId="16747" xr:uid="{9C0D0495-67F7-4EFE-A0FB-5E8D20531D9A}"/>
    <cellStyle name="Note 3 2 3 4 2 3" xfId="12529" xr:uid="{7CA905E7-5E88-47C4-91A0-D60735305E7C}"/>
    <cellStyle name="Note 3 2 3 4 3" xfId="6152" xr:uid="{00000000-0005-0000-0000-000088210000}"/>
    <cellStyle name="Note 3 2 3 4 3 2" xfId="14602" xr:uid="{3A3CCE85-C06C-4193-86B9-44A4290B0484}"/>
    <cellStyle name="Note 3 2 3 4 4" xfId="10384" xr:uid="{B92BFBF0-3C1B-4C14-9580-30978911B4E1}"/>
    <cellStyle name="Note 3 2 3 5" xfId="2259" xr:uid="{00000000-0005-0000-0000-000089210000}"/>
    <cellStyle name="Note 3 2 3 5 2" xfId="4488" xr:uid="{00000000-0005-0000-0000-00008A210000}"/>
    <cellStyle name="Note 3 2 3 5 2 2" xfId="8710" xr:uid="{00000000-0005-0000-0000-00008B210000}"/>
    <cellStyle name="Note 3 2 3 5 2 2 2" xfId="17160" xr:uid="{80160D73-B528-4B42-875D-7A740891FA8F}"/>
    <cellStyle name="Note 3 2 3 5 2 3" xfId="12942" xr:uid="{1CC91A64-DE7A-4457-8DC7-C7F7F6420B9E}"/>
    <cellStyle name="Note 3 2 3 5 3" xfId="6565" xr:uid="{00000000-0005-0000-0000-00008C210000}"/>
    <cellStyle name="Note 3 2 3 5 3 2" xfId="15015" xr:uid="{5C31E64F-60CA-45CB-B546-1D05322BCE65}"/>
    <cellStyle name="Note 3 2 3 5 4" xfId="10797" xr:uid="{E9CFC646-6A83-4575-8E32-1742FF209153}"/>
    <cellStyle name="Note 3 2 3 6" xfId="2695" xr:uid="{00000000-0005-0000-0000-00008D210000}"/>
    <cellStyle name="Note 3 2 3 6 2" xfId="6978" xr:uid="{00000000-0005-0000-0000-00008E210000}"/>
    <cellStyle name="Note 3 2 3 6 2 2" xfId="15428" xr:uid="{FC5F4A33-D449-4CE7-85E5-FE1232D6A476}"/>
    <cellStyle name="Note 3 2 3 6 3" xfId="11210" xr:uid="{60B0E1C5-9DAA-4D29-AA6B-43422769BD94}"/>
    <cellStyle name="Note 3 2 3 7" xfId="2754" xr:uid="{00000000-0005-0000-0000-00008F210000}"/>
    <cellStyle name="Note 3 2 3 8" xfId="2835" xr:uid="{00000000-0005-0000-0000-000090210000}"/>
    <cellStyle name="Note 3 2 3 8 2" xfId="7058" xr:uid="{00000000-0005-0000-0000-000091210000}"/>
    <cellStyle name="Note 3 2 3 8 2 2" xfId="15508" xr:uid="{AFDF5B0C-DF79-4FB5-88F8-7B13EABC3E40}"/>
    <cellStyle name="Note 3 2 3 8 3" xfId="11290" xr:uid="{138A463F-D217-480D-A3B4-EAB60DCF837E}"/>
    <cellStyle name="Note 3 2 3 9" xfId="4913" xr:uid="{00000000-0005-0000-0000-000092210000}"/>
    <cellStyle name="Note 3 2 3 9 2" xfId="13363" xr:uid="{568910A6-22D3-4CB9-8223-455F77BD3AEA}"/>
    <cellStyle name="Note 3 2 4" xfId="1014" xr:uid="{00000000-0005-0000-0000-000093210000}"/>
    <cellStyle name="Note 3 2 4 2" xfId="3246" xr:uid="{00000000-0005-0000-0000-000094210000}"/>
    <cellStyle name="Note 3 2 4 2 2" xfId="7468" xr:uid="{00000000-0005-0000-0000-000095210000}"/>
    <cellStyle name="Note 3 2 4 2 2 2" xfId="15918" xr:uid="{F00ED32E-E50D-467D-86FF-782B48809151}"/>
    <cellStyle name="Note 3 2 4 2 3" xfId="11700" xr:uid="{669765F9-D51D-4236-87CD-59D1306C3897}"/>
    <cellStyle name="Note 3 2 4 3" xfId="5323" xr:uid="{00000000-0005-0000-0000-000096210000}"/>
    <cellStyle name="Note 3 2 4 3 2" xfId="13773" xr:uid="{C018D069-61FA-4E28-B0CF-8C8D929E4DC9}"/>
    <cellStyle name="Note 3 2 4 4" xfId="9555" xr:uid="{1CA8CFDF-BF5B-40AB-BE9F-BE14A88FAF3B}"/>
    <cellStyle name="Note 3 2 5" xfId="1429" xr:uid="{00000000-0005-0000-0000-000097210000}"/>
    <cellStyle name="Note 3 2 5 2" xfId="3659" xr:uid="{00000000-0005-0000-0000-000098210000}"/>
    <cellStyle name="Note 3 2 5 2 2" xfId="7881" xr:uid="{00000000-0005-0000-0000-000099210000}"/>
    <cellStyle name="Note 3 2 5 2 2 2" xfId="16331" xr:uid="{53C65BDD-14AE-4C52-91C8-17BA38D5C12A}"/>
    <cellStyle name="Note 3 2 5 2 3" xfId="12113" xr:uid="{3C4B2AA5-D5D7-44B4-9394-5FF21244F7D2}"/>
    <cellStyle name="Note 3 2 5 3" xfId="5736" xr:uid="{00000000-0005-0000-0000-00009A210000}"/>
    <cellStyle name="Note 3 2 5 3 2" xfId="14186" xr:uid="{AAADC51C-F6F6-49ED-BF8D-EEF84D6968CC}"/>
    <cellStyle name="Note 3 2 5 4" xfId="9968" xr:uid="{7B61C9C3-26F2-4265-B51D-E294CFCFF299}"/>
    <cellStyle name="Note 3 2 6" xfId="1843" xr:uid="{00000000-0005-0000-0000-00009B210000}"/>
    <cellStyle name="Note 3 2 6 2" xfId="4072" xr:uid="{00000000-0005-0000-0000-00009C210000}"/>
    <cellStyle name="Note 3 2 6 2 2" xfId="8294" xr:uid="{00000000-0005-0000-0000-00009D210000}"/>
    <cellStyle name="Note 3 2 6 2 2 2" xfId="16744" xr:uid="{2B139002-75D5-42FB-8A08-39E0D17425FF}"/>
    <cellStyle name="Note 3 2 6 2 3" xfId="12526" xr:uid="{BD74C49D-067F-44D9-95E0-96F355114FD6}"/>
    <cellStyle name="Note 3 2 6 3" xfId="6149" xr:uid="{00000000-0005-0000-0000-00009E210000}"/>
    <cellStyle name="Note 3 2 6 3 2" xfId="14599" xr:uid="{2511C20F-5E39-430F-8A2B-81C187AE56F0}"/>
    <cellStyle name="Note 3 2 6 4" xfId="10381" xr:uid="{2DA0F508-BE2A-4ED5-BBD7-E0BA165E52F6}"/>
    <cellStyle name="Note 3 2 7" xfId="2256" xr:uid="{00000000-0005-0000-0000-00009F210000}"/>
    <cellStyle name="Note 3 2 7 2" xfId="4485" xr:uid="{00000000-0005-0000-0000-0000A0210000}"/>
    <cellStyle name="Note 3 2 7 2 2" xfId="8707" xr:uid="{00000000-0005-0000-0000-0000A1210000}"/>
    <cellStyle name="Note 3 2 7 2 2 2" xfId="17157" xr:uid="{23F699EA-E4D7-4B69-A8CA-DF953AACAB4F}"/>
    <cellStyle name="Note 3 2 7 2 3" xfId="12939" xr:uid="{55AEFBCE-800C-4ABA-BF90-DD781C894CCA}"/>
    <cellStyle name="Note 3 2 7 3" xfId="6562" xr:uid="{00000000-0005-0000-0000-0000A2210000}"/>
    <cellStyle name="Note 3 2 7 3 2" xfId="15012" xr:uid="{16C6A719-48D5-4704-9B80-2C7F9AB09A01}"/>
    <cellStyle name="Note 3 2 7 4" xfId="10794" xr:uid="{6663F543-142F-4B2F-B36D-D23AEB9B42A5}"/>
    <cellStyle name="Note 3 2 8" xfId="2692" xr:uid="{00000000-0005-0000-0000-0000A3210000}"/>
    <cellStyle name="Note 3 2 8 2" xfId="6975" xr:uid="{00000000-0005-0000-0000-0000A4210000}"/>
    <cellStyle name="Note 3 2 8 2 2" xfId="15425" xr:uid="{14A4C680-AE31-4BD0-8B67-462D8F55BEEF}"/>
    <cellStyle name="Note 3 2 8 3" xfId="11207" xr:uid="{D276F37D-2856-4812-BC15-CB1B34CEAA3D}"/>
    <cellStyle name="Note 3 2 9" xfId="2751" xr:uid="{00000000-0005-0000-0000-0000A5210000}"/>
    <cellStyle name="Note 3 3" xfId="558" xr:uid="{00000000-0005-0000-0000-0000A6210000}"/>
    <cellStyle name="Note 3 3 10" xfId="4914" xr:uid="{00000000-0005-0000-0000-0000A7210000}"/>
    <cellStyle name="Note 3 3 10 2" xfId="13364" xr:uid="{1FB9AC03-B4B4-490D-A02F-2F3C90044E5F}"/>
    <cellStyle name="Note 3 3 11" xfId="9146" xr:uid="{BE8899F3-C6D4-4445-91A8-1F238983593D}"/>
    <cellStyle name="Note 3 3 2" xfId="559" xr:uid="{00000000-0005-0000-0000-0000A8210000}"/>
    <cellStyle name="Note 3 3 2 10" xfId="9147" xr:uid="{B3810D7F-04BD-483D-904F-A21D4D5105A6}"/>
    <cellStyle name="Note 3 3 2 2" xfId="1019" xr:uid="{00000000-0005-0000-0000-0000A9210000}"/>
    <cellStyle name="Note 3 3 2 2 2" xfId="3251" xr:uid="{00000000-0005-0000-0000-0000AA210000}"/>
    <cellStyle name="Note 3 3 2 2 2 2" xfId="7473" xr:uid="{00000000-0005-0000-0000-0000AB210000}"/>
    <cellStyle name="Note 3 3 2 2 2 2 2" xfId="15923" xr:uid="{7E5777C9-DA55-4634-99FB-ACCF4B20E227}"/>
    <cellStyle name="Note 3 3 2 2 2 3" xfId="11705" xr:uid="{39EA6C05-FDA7-48F9-A799-734EA53EEA39}"/>
    <cellStyle name="Note 3 3 2 2 3" xfId="5328" xr:uid="{00000000-0005-0000-0000-0000AC210000}"/>
    <cellStyle name="Note 3 3 2 2 3 2" xfId="13778" xr:uid="{3D0625BE-28CE-4982-A9F5-6D50052D1505}"/>
    <cellStyle name="Note 3 3 2 2 4" xfId="9560" xr:uid="{944AFF12-3E5C-49CF-BEEF-8A971E8FD93F}"/>
    <cellStyle name="Note 3 3 2 3" xfId="1434" xr:uid="{00000000-0005-0000-0000-0000AD210000}"/>
    <cellStyle name="Note 3 3 2 3 2" xfId="3664" xr:uid="{00000000-0005-0000-0000-0000AE210000}"/>
    <cellStyle name="Note 3 3 2 3 2 2" xfId="7886" xr:uid="{00000000-0005-0000-0000-0000AF210000}"/>
    <cellStyle name="Note 3 3 2 3 2 2 2" xfId="16336" xr:uid="{5CAA28E1-60BF-4D04-9B19-0C84348F4547}"/>
    <cellStyle name="Note 3 3 2 3 2 3" xfId="12118" xr:uid="{E4B92105-A3FF-4575-A1D0-A6C4FF017536}"/>
    <cellStyle name="Note 3 3 2 3 3" xfId="5741" xr:uid="{00000000-0005-0000-0000-0000B0210000}"/>
    <cellStyle name="Note 3 3 2 3 3 2" xfId="14191" xr:uid="{87C6E1A4-99BF-4AC8-BDEF-FBB1ACCCFE63}"/>
    <cellStyle name="Note 3 3 2 3 4" xfId="9973" xr:uid="{A1AD6298-2504-4D6F-BACD-2EE142ABC550}"/>
    <cellStyle name="Note 3 3 2 4" xfId="1848" xr:uid="{00000000-0005-0000-0000-0000B1210000}"/>
    <cellStyle name="Note 3 3 2 4 2" xfId="4077" xr:uid="{00000000-0005-0000-0000-0000B2210000}"/>
    <cellStyle name="Note 3 3 2 4 2 2" xfId="8299" xr:uid="{00000000-0005-0000-0000-0000B3210000}"/>
    <cellStyle name="Note 3 3 2 4 2 2 2" xfId="16749" xr:uid="{2B58334A-6296-49FA-A004-0F6E31162A9A}"/>
    <cellStyle name="Note 3 3 2 4 2 3" xfId="12531" xr:uid="{34E2B40E-062F-4D53-9BA6-4A8BC27B6E25}"/>
    <cellStyle name="Note 3 3 2 4 3" xfId="6154" xr:uid="{00000000-0005-0000-0000-0000B4210000}"/>
    <cellStyle name="Note 3 3 2 4 3 2" xfId="14604" xr:uid="{B522A287-1948-48CA-B336-99894EEEEF90}"/>
    <cellStyle name="Note 3 3 2 4 4" xfId="10386" xr:uid="{10E74929-6F1C-499C-A874-BAE1382B1597}"/>
    <cellStyle name="Note 3 3 2 5" xfId="2261" xr:uid="{00000000-0005-0000-0000-0000B5210000}"/>
    <cellStyle name="Note 3 3 2 5 2" xfId="4490" xr:uid="{00000000-0005-0000-0000-0000B6210000}"/>
    <cellStyle name="Note 3 3 2 5 2 2" xfId="8712" xr:uid="{00000000-0005-0000-0000-0000B7210000}"/>
    <cellStyle name="Note 3 3 2 5 2 2 2" xfId="17162" xr:uid="{1B51DAE8-F551-4A69-8CE5-33B2E0D620D8}"/>
    <cellStyle name="Note 3 3 2 5 2 3" xfId="12944" xr:uid="{64FB186B-3B29-4B3E-9EB8-6E4117B93032}"/>
    <cellStyle name="Note 3 3 2 5 3" xfId="6567" xr:uid="{00000000-0005-0000-0000-0000B8210000}"/>
    <cellStyle name="Note 3 3 2 5 3 2" xfId="15017" xr:uid="{5616210A-4C1E-40DB-AF9E-217E89DD16C2}"/>
    <cellStyle name="Note 3 3 2 5 4" xfId="10799" xr:uid="{DB3A3383-DADB-4D19-B2CF-E7A29B116BC7}"/>
    <cellStyle name="Note 3 3 2 6" xfId="2697" xr:uid="{00000000-0005-0000-0000-0000B9210000}"/>
    <cellStyle name="Note 3 3 2 6 2" xfId="6980" xr:uid="{00000000-0005-0000-0000-0000BA210000}"/>
    <cellStyle name="Note 3 3 2 6 2 2" xfId="15430" xr:uid="{3EB71C97-44F0-457C-BA72-BB4A1E0294C4}"/>
    <cellStyle name="Note 3 3 2 6 3" xfId="11212" xr:uid="{5A2806BA-DF02-472F-A22D-990B4A29B6D7}"/>
    <cellStyle name="Note 3 3 2 7" xfId="2756" xr:uid="{00000000-0005-0000-0000-0000BB210000}"/>
    <cellStyle name="Note 3 3 2 8" xfId="2837" xr:uid="{00000000-0005-0000-0000-0000BC210000}"/>
    <cellStyle name="Note 3 3 2 8 2" xfId="7060" xr:uid="{00000000-0005-0000-0000-0000BD210000}"/>
    <cellStyle name="Note 3 3 2 8 2 2" xfId="15510" xr:uid="{7B33EF81-2CB4-4CE7-B501-2227F17612BF}"/>
    <cellStyle name="Note 3 3 2 8 3" xfId="11292" xr:uid="{DC1E7289-DB31-4528-9B29-4E891C955088}"/>
    <cellStyle name="Note 3 3 2 9" xfId="4915" xr:uid="{00000000-0005-0000-0000-0000BE210000}"/>
    <cellStyle name="Note 3 3 2 9 2" xfId="13365" xr:uid="{A10F0018-588E-4858-AC74-1068C1C764C6}"/>
    <cellStyle name="Note 3 3 3" xfId="1018" xr:uid="{00000000-0005-0000-0000-0000BF210000}"/>
    <cellStyle name="Note 3 3 3 2" xfId="3250" xr:uid="{00000000-0005-0000-0000-0000C0210000}"/>
    <cellStyle name="Note 3 3 3 2 2" xfId="7472" xr:uid="{00000000-0005-0000-0000-0000C1210000}"/>
    <cellStyle name="Note 3 3 3 2 2 2" xfId="15922" xr:uid="{4E585532-623C-4C8D-B65D-FFF358E6EE65}"/>
    <cellStyle name="Note 3 3 3 2 3" xfId="11704" xr:uid="{1858F07B-3D77-418E-902B-EA19AEFF16B0}"/>
    <cellStyle name="Note 3 3 3 3" xfId="5327" xr:uid="{00000000-0005-0000-0000-0000C2210000}"/>
    <cellStyle name="Note 3 3 3 3 2" xfId="13777" xr:uid="{935380CD-D6AF-4BFF-97D8-68873A1D3704}"/>
    <cellStyle name="Note 3 3 3 4" xfId="9559" xr:uid="{88B45CAC-3E78-4571-A5C7-19355B5BD157}"/>
    <cellStyle name="Note 3 3 4" xfId="1433" xr:uid="{00000000-0005-0000-0000-0000C3210000}"/>
    <cellStyle name="Note 3 3 4 2" xfId="3663" xr:uid="{00000000-0005-0000-0000-0000C4210000}"/>
    <cellStyle name="Note 3 3 4 2 2" xfId="7885" xr:uid="{00000000-0005-0000-0000-0000C5210000}"/>
    <cellStyle name="Note 3 3 4 2 2 2" xfId="16335" xr:uid="{45783DC4-433A-4796-8953-7C3275B1DDFC}"/>
    <cellStyle name="Note 3 3 4 2 3" xfId="12117" xr:uid="{6FD4999F-4863-46DB-822A-F3CF80ECD0BE}"/>
    <cellStyle name="Note 3 3 4 3" xfId="5740" xr:uid="{00000000-0005-0000-0000-0000C6210000}"/>
    <cellStyle name="Note 3 3 4 3 2" xfId="14190" xr:uid="{3BF8F260-6332-4C53-9B8C-15066C664FC5}"/>
    <cellStyle name="Note 3 3 4 4" xfId="9972" xr:uid="{6553E8D8-14A4-412A-8F71-335220DBCAB6}"/>
    <cellStyle name="Note 3 3 5" xfId="1847" xr:uid="{00000000-0005-0000-0000-0000C7210000}"/>
    <cellStyle name="Note 3 3 5 2" xfId="4076" xr:uid="{00000000-0005-0000-0000-0000C8210000}"/>
    <cellStyle name="Note 3 3 5 2 2" xfId="8298" xr:uid="{00000000-0005-0000-0000-0000C9210000}"/>
    <cellStyle name="Note 3 3 5 2 2 2" xfId="16748" xr:uid="{6F560AFE-680B-4C40-B2A5-68F7BEE3EC92}"/>
    <cellStyle name="Note 3 3 5 2 3" xfId="12530" xr:uid="{9AEB8547-C4EE-44FE-AFE7-67842E32F26B}"/>
    <cellStyle name="Note 3 3 5 3" xfId="6153" xr:uid="{00000000-0005-0000-0000-0000CA210000}"/>
    <cellStyle name="Note 3 3 5 3 2" xfId="14603" xr:uid="{D11D7BB7-D32E-4648-B8B1-31B6FDF959E7}"/>
    <cellStyle name="Note 3 3 5 4" xfId="10385" xr:uid="{A9ECC1AC-919A-461D-84F4-12D24A64064C}"/>
    <cellStyle name="Note 3 3 6" xfId="2260" xr:uid="{00000000-0005-0000-0000-0000CB210000}"/>
    <cellStyle name="Note 3 3 6 2" xfId="4489" xr:uid="{00000000-0005-0000-0000-0000CC210000}"/>
    <cellStyle name="Note 3 3 6 2 2" xfId="8711" xr:uid="{00000000-0005-0000-0000-0000CD210000}"/>
    <cellStyle name="Note 3 3 6 2 2 2" xfId="17161" xr:uid="{77B53160-B18C-493B-9AC3-C2AC42479360}"/>
    <cellStyle name="Note 3 3 6 2 3" xfId="12943" xr:uid="{C762267C-D8D2-4317-8075-526489B5ED63}"/>
    <cellStyle name="Note 3 3 6 3" xfId="6566" xr:uid="{00000000-0005-0000-0000-0000CE210000}"/>
    <cellStyle name="Note 3 3 6 3 2" xfId="15016" xr:uid="{DC5EF00C-4CCE-4202-BFD6-4CFB412AC74F}"/>
    <cellStyle name="Note 3 3 6 4" xfId="10798" xr:uid="{63412E57-37E4-4CB8-B7CA-A446495C6D0E}"/>
    <cellStyle name="Note 3 3 7" xfId="2696" xr:uid="{00000000-0005-0000-0000-0000CF210000}"/>
    <cellStyle name="Note 3 3 7 2" xfId="6979" xr:uid="{00000000-0005-0000-0000-0000D0210000}"/>
    <cellStyle name="Note 3 3 7 2 2" xfId="15429" xr:uid="{01A81063-8E1E-4792-9A42-E06AB07353F0}"/>
    <cellStyle name="Note 3 3 7 3" xfId="11211" xr:uid="{033B9B37-0A8B-4564-9381-5286C852D582}"/>
    <cellStyle name="Note 3 3 8" xfId="2755" xr:uid="{00000000-0005-0000-0000-0000D1210000}"/>
    <cellStyle name="Note 3 3 9" xfId="2836" xr:uid="{00000000-0005-0000-0000-0000D2210000}"/>
    <cellStyle name="Note 3 3 9 2" xfId="7059" xr:uid="{00000000-0005-0000-0000-0000D3210000}"/>
    <cellStyle name="Note 3 3 9 2 2" xfId="15509" xr:uid="{8B80FF74-2DA0-4780-A9EC-549409CDC30D}"/>
    <cellStyle name="Note 3 3 9 3" xfId="11291" xr:uid="{48EF2238-CD90-4119-8544-FD74C38F8CC3}"/>
    <cellStyle name="Note 3 4" xfId="560" xr:uid="{00000000-0005-0000-0000-0000D4210000}"/>
    <cellStyle name="Note 3 4 10" xfId="9148" xr:uid="{5AF1F5C7-00FF-4C9B-BE4A-46513912498F}"/>
    <cellStyle name="Note 3 4 2" xfId="1020" xr:uid="{00000000-0005-0000-0000-0000D5210000}"/>
    <cellStyle name="Note 3 4 2 2" xfId="3252" xr:uid="{00000000-0005-0000-0000-0000D6210000}"/>
    <cellStyle name="Note 3 4 2 2 2" xfId="7474" xr:uid="{00000000-0005-0000-0000-0000D7210000}"/>
    <cellStyle name="Note 3 4 2 2 2 2" xfId="15924" xr:uid="{8316E17D-62CF-4858-B825-E8331F546F3C}"/>
    <cellStyle name="Note 3 4 2 2 3" xfId="11706" xr:uid="{A9F62FB6-8945-4DDC-B5F7-0540D371557B}"/>
    <cellStyle name="Note 3 4 2 3" xfId="5329" xr:uid="{00000000-0005-0000-0000-0000D8210000}"/>
    <cellStyle name="Note 3 4 2 3 2" xfId="13779" xr:uid="{C03DB149-6535-4A39-AB17-0DD0CE03DEDD}"/>
    <cellStyle name="Note 3 4 2 4" xfId="9561" xr:uid="{88E45D87-EB49-4FEE-91A1-9E2CB1B4D450}"/>
    <cellStyle name="Note 3 4 3" xfId="1435" xr:uid="{00000000-0005-0000-0000-0000D9210000}"/>
    <cellStyle name="Note 3 4 3 2" xfId="3665" xr:uid="{00000000-0005-0000-0000-0000DA210000}"/>
    <cellStyle name="Note 3 4 3 2 2" xfId="7887" xr:uid="{00000000-0005-0000-0000-0000DB210000}"/>
    <cellStyle name="Note 3 4 3 2 2 2" xfId="16337" xr:uid="{FB711989-B6E9-4BDC-9031-0A4617358B07}"/>
    <cellStyle name="Note 3 4 3 2 3" xfId="12119" xr:uid="{89983D81-83DB-4C8E-8285-894721033368}"/>
    <cellStyle name="Note 3 4 3 3" xfId="5742" xr:uid="{00000000-0005-0000-0000-0000DC210000}"/>
    <cellStyle name="Note 3 4 3 3 2" xfId="14192" xr:uid="{87A0067E-DBDE-46F5-9FF0-EC9B8FC296AC}"/>
    <cellStyle name="Note 3 4 3 4" xfId="9974" xr:uid="{50E2F111-B276-46C6-8098-5B680E275210}"/>
    <cellStyle name="Note 3 4 4" xfId="1849" xr:uid="{00000000-0005-0000-0000-0000DD210000}"/>
    <cellStyle name="Note 3 4 4 2" xfId="4078" xr:uid="{00000000-0005-0000-0000-0000DE210000}"/>
    <cellStyle name="Note 3 4 4 2 2" xfId="8300" xr:uid="{00000000-0005-0000-0000-0000DF210000}"/>
    <cellStyle name="Note 3 4 4 2 2 2" xfId="16750" xr:uid="{788373B6-D52B-4072-8C76-AC4BE7C4AA9C}"/>
    <cellStyle name="Note 3 4 4 2 3" xfId="12532" xr:uid="{FE71A040-6888-4CDE-9976-52C6426F3435}"/>
    <cellStyle name="Note 3 4 4 3" xfId="6155" xr:uid="{00000000-0005-0000-0000-0000E0210000}"/>
    <cellStyle name="Note 3 4 4 3 2" xfId="14605" xr:uid="{B57EEE3C-E2EB-4A6A-B316-971EB5F5BC98}"/>
    <cellStyle name="Note 3 4 4 4" xfId="10387" xr:uid="{BF83DD13-5EC6-4A7A-9E91-ECA6511BF2CF}"/>
    <cellStyle name="Note 3 4 5" xfId="2262" xr:uid="{00000000-0005-0000-0000-0000E1210000}"/>
    <cellStyle name="Note 3 4 5 2" xfId="4491" xr:uid="{00000000-0005-0000-0000-0000E2210000}"/>
    <cellStyle name="Note 3 4 5 2 2" xfId="8713" xr:uid="{00000000-0005-0000-0000-0000E3210000}"/>
    <cellStyle name="Note 3 4 5 2 2 2" xfId="17163" xr:uid="{CB18F183-8808-483C-A195-709FC1AC4AC1}"/>
    <cellStyle name="Note 3 4 5 2 3" xfId="12945" xr:uid="{803A03E5-7F09-4073-923E-58B04F6BFE61}"/>
    <cellStyle name="Note 3 4 5 3" xfId="6568" xr:uid="{00000000-0005-0000-0000-0000E4210000}"/>
    <cellStyle name="Note 3 4 5 3 2" xfId="15018" xr:uid="{198F993F-ED3F-4300-A4B5-E5F26978A1F7}"/>
    <cellStyle name="Note 3 4 5 4" xfId="10800" xr:uid="{688649E6-4D41-48CB-B6DF-7A2AA5B0F488}"/>
    <cellStyle name="Note 3 4 6" xfId="2698" xr:uid="{00000000-0005-0000-0000-0000E5210000}"/>
    <cellStyle name="Note 3 4 6 2" xfId="6981" xr:uid="{00000000-0005-0000-0000-0000E6210000}"/>
    <cellStyle name="Note 3 4 6 2 2" xfId="15431" xr:uid="{04175210-77DC-49D1-B862-690A0A9E3EBD}"/>
    <cellStyle name="Note 3 4 6 3" xfId="11213" xr:uid="{078A6B09-3483-4980-A4E5-872AC0B176A2}"/>
    <cellStyle name="Note 3 4 7" xfId="2757" xr:uid="{00000000-0005-0000-0000-0000E7210000}"/>
    <cellStyle name="Note 3 4 8" xfId="2838" xr:uid="{00000000-0005-0000-0000-0000E8210000}"/>
    <cellStyle name="Note 3 4 8 2" xfId="7061" xr:uid="{00000000-0005-0000-0000-0000E9210000}"/>
    <cellStyle name="Note 3 4 8 2 2" xfId="15511" xr:uid="{F7339CB1-BF86-48A1-85D4-7A1DC7EDA3D1}"/>
    <cellStyle name="Note 3 4 8 3" xfId="11293" xr:uid="{8456F6B0-2852-4B2C-AA6B-CDE3C6A7FFD4}"/>
    <cellStyle name="Note 3 4 9" xfId="4916" xr:uid="{00000000-0005-0000-0000-0000EA210000}"/>
    <cellStyle name="Note 3 4 9 2" xfId="13366" xr:uid="{B8246541-F067-4A1D-AFDF-B8C1198E1990}"/>
    <cellStyle name="Note 3 5" xfId="561" xr:uid="{00000000-0005-0000-0000-0000EB210000}"/>
    <cellStyle name="Note 3 5 10" xfId="9149" xr:uid="{53F36170-38F2-4714-971C-A28238DAEF69}"/>
    <cellStyle name="Note 3 5 2" xfId="1021" xr:uid="{00000000-0005-0000-0000-0000EC210000}"/>
    <cellStyle name="Note 3 5 2 2" xfId="3253" xr:uid="{00000000-0005-0000-0000-0000ED210000}"/>
    <cellStyle name="Note 3 5 2 2 2" xfId="7475" xr:uid="{00000000-0005-0000-0000-0000EE210000}"/>
    <cellStyle name="Note 3 5 2 2 2 2" xfId="15925" xr:uid="{EC0B13C4-3011-4F3B-942F-C4702871887E}"/>
    <cellStyle name="Note 3 5 2 2 3" xfId="11707" xr:uid="{20A3D350-313C-4545-98EB-CA5BB755D312}"/>
    <cellStyle name="Note 3 5 2 3" xfId="5330" xr:uid="{00000000-0005-0000-0000-0000EF210000}"/>
    <cellStyle name="Note 3 5 2 3 2" xfId="13780" xr:uid="{9D527434-FF66-4757-BD02-11D99039AA2A}"/>
    <cellStyle name="Note 3 5 2 4" xfId="9562" xr:uid="{C1FC8D32-300A-47BF-9641-F5CBEF1E3E90}"/>
    <cellStyle name="Note 3 5 3" xfId="1436" xr:uid="{00000000-0005-0000-0000-0000F0210000}"/>
    <cellStyle name="Note 3 5 3 2" xfId="3666" xr:uid="{00000000-0005-0000-0000-0000F1210000}"/>
    <cellStyle name="Note 3 5 3 2 2" xfId="7888" xr:uid="{00000000-0005-0000-0000-0000F2210000}"/>
    <cellStyle name="Note 3 5 3 2 2 2" xfId="16338" xr:uid="{4DBE510A-053B-401F-B2E6-752D3E49C10A}"/>
    <cellStyle name="Note 3 5 3 2 3" xfId="12120" xr:uid="{E6AE2FE5-659D-44C0-8ADE-592B5273D1CC}"/>
    <cellStyle name="Note 3 5 3 3" xfId="5743" xr:uid="{00000000-0005-0000-0000-0000F3210000}"/>
    <cellStyle name="Note 3 5 3 3 2" xfId="14193" xr:uid="{C1F21579-EA38-4E6A-B6C9-342A90503A86}"/>
    <cellStyle name="Note 3 5 3 4" xfId="9975" xr:uid="{3DCC220D-31AD-4DDC-9A59-72ED1F74C274}"/>
    <cellStyle name="Note 3 5 4" xfId="1850" xr:uid="{00000000-0005-0000-0000-0000F4210000}"/>
    <cellStyle name="Note 3 5 4 2" xfId="4079" xr:uid="{00000000-0005-0000-0000-0000F5210000}"/>
    <cellStyle name="Note 3 5 4 2 2" xfId="8301" xr:uid="{00000000-0005-0000-0000-0000F6210000}"/>
    <cellStyle name="Note 3 5 4 2 2 2" xfId="16751" xr:uid="{69C2C8F4-AF83-436D-9318-39CE50ADD10C}"/>
    <cellStyle name="Note 3 5 4 2 3" xfId="12533" xr:uid="{D4691BD0-31C7-47D1-8A13-4FFAFCA14214}"/>
    <cellStyle name="Note 3 5 4 3" xfId="6156" xr:uid="{00000000-0005-0000-0000-0000F7210000}"/>
    <cellStyle name="Note 3 5 4 3 2" xfId="14606" xr:uid="{6BB9FA73-4CCE-44A4-A396-FB34480C72BB}"/>
    <cellStyle name="Note 3 5 4 4" xfId="10388" xr:uid="{4B9EDC7F-5634-48D0-B617-03CE78082411}"/>
    <cellStyle name="Note 3 5 5" xfId="2263" xr:uid="{00000000-0005-0000-0000-0000F8210000}"/>
    <cellStyle name="Note 3 5 5 2" xfId="4492" xr:uid="{00000000-0005-0000-0000-0000F9210000}"/>
    <cellStyle name="Note 3 5 5 2 2" xfId="8714" xr:uid="{00000000-0005-0000-0000-0000FA210000}"/>
    <cellStyle name="Note 3 5 5 2 2 2" xfId="17164" xr:uid="{75B060D0-E7AF-4FA2-A52A-933C79A08927}"/>
    <cellStyle name="Note 3 5 5 2 3" xfId="12946" xr:uid="{AB90659E-72F6-4A02-AA7D-DCF9706EF2A5}"/>
    <cellStyle name="Note 3 5 5 3" xfId="6569" xr:uid="{00000000-0005-0000-0000-0000FB210000}"/>
    <cellStyle name="Note 3 5 5 3 2" xfId="15019" xr:uid="{7090A605-0E66-4C1B-86EA-B9F992390735}"/>
    <cellStyle name="Note 3 5 5 4" xfId="10801" xr:uid="{E8AB8F6B-02DE-4C16-B79E-D465C652D2DF}"/>
    <cellStyle name="Note 3 5 6" xfId="2699" xr:uid="{00000000-0005-0000-0000-0000FC210000}"/>
    <cellStyle name="Note 3 5 6 2" xfId="6982" xr:uid="{00000000-0005-0000-0000-0000FD210000}"/>
    <cellStyle name="Note 3 5 6 2 2" xfId="15432" xr:uid="{3602992D-04B7-4D6A-817F-615AD6DAF783}"/>
    <cellStyle name="Note 3 5 6 3" xfId="11214" xr:uid="{DEFBD8F5-44A0-4893-82EF-DA6A5BDD3942}"/>
    <cellStyle name="Note 3 5 7" xfId="2758" xr:uid="{00000000-0005-0000-0000-0000FE210000}"/>
    <cellStyle name="Note 3 5 8" xfId="2839" xr:uid="{00000000-0005-0000-0000-0000FF210000}"/>
    <cellStyle name="Note 3 5 8 2" xfId="7062" xr:uid="{00000000-0005-0000-0000-000000220000}"/>
    <cellStyle name="Note 3 5 8 2 2" xfId="15512" xr:uid="{D9F5231C-70C7-43AB-BDAD-BB2703E74B61}"/>
    <cellStyle name="Note 3 5 8 3" xfId="11294" xr:uid="{AB7D8D55-95C0-4729-9A88-B39EF569412A}"/>
    <cellStyle name="Note 3 5 9" xfId="4917" xr:uid="{00000000-0005-0000-0000-000001220000}"/>
    <cellStyle name="Note 3 5 9 2" xfId="13367" xr:uid="{FBE4561F-0EA1-4242-AA47-0DE9731466F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50" xr:uid="{79B7D7A7-88B8-4818-8B84-77DA4AFDC14B}"/>
    <cellStyle name="Percent 4" xfId="4502" xr:uid="{00000000-0005-0000-0000-000007220000}"/>
    <cellStyle name="Percent 4 2" xfId="8717" xr:uid="{00000000-0005-0000-0000-000008220000}"/>
    <cellStyle name="Percent 4 2 2" xfId="17167" xr:uid="{3938E89E-47EC-45DD-A720-A1198A948243}"/>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17183" xr:uid="{25B4039E-42CF-4BAB-8569-FACD789D733A}"/>
    <cellStyle name="Percent 4 3 2 2 2 3" xfId="17180" xr:uid="{D0D5F058-BCB8-44EE-B67C-9396F55FED5E}"/>
    <cellStyle name="Percent 4 3 2 2 3" xfId="17176" xr:uid="{6260B952-C5F2-4884-B806-A9B3A670B5BE}"/>
    <cellStyle name="Percent 4 3 2 3" xfId="17173" xr:uid="{18416B76-5427-4DB6-9EAC-2E705E294641}"/>
    <cellStyle name="Percent 4 3 3" xfId="17170" xr:uid="{33110AE7-60A0-4771-B3EA-1422D140E095}"/>
    <cellStyle name="Percent 4 4" xfId="12953" xr:uid="{4D31C3BA-7A82-4BCB-A258-970E84F191EF}"/>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21" zoomScale="175" zoomScaleNormal="175" workbookViewId="0">
      <selection activeCell="E31" sqref="E31:AK31"/>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3" t="s">
        <v>551</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13" thickBot="1">
      <c r="A2" s="1274"/>
      <c r="B2" s="1274"/>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row>
    <row r="3" spans="1:38" ht="13" thickTop="1"/>
    <row r="4" spans="1:38" s="5" customFormat="1" ht="13">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2036</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ht="13">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ht="13">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3" t="s">
        <v>2037</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ht="13">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ht="13">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2606</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ht="13">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ht="13">
      <c r="A18" s="204"/>
      <c r="B18" s="204"/>
      <c r="C18" s="205"/>
      <c r="D18" s="519" t="s">
        <v>2605</v>
      </c>
      <c r="E18" s="441"/>
      <c r="G18" s="441"/>
      <c r="H18" s="441"/>
      <c r="I18" s="441"/>
      <c r="J18" s="1276" t="s">
        <v>2604</v>
      </c>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2038</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ht="13">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ht="13">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ht="13">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ht="13">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ht="13">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ht="13">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ht="13">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2039</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ht="13">
      <c r="A31" s="204"/>
      <c r="B31" s="204"/>
      <c r="C31" s="205"/>
      <c r="D31" s="455"/>
      <c r="E31" s="1264" t="s">
        <v>2520</v>
      </c>
      <c r="F31" s="1265"/>
      <c r="G31" s="1265"/>
      <c r="H31" s="1265"/>
      <c r="I31" s="1265"/>
      <c r="J31" s="1265"/>
      <c r="K31" s="1265"/>
      <c r="L31" s="1265"/>
      <c r="M31" s="1265"/>
      <c r="N31" s="1265"/>
      <c r="O31" s="1265"/>
      <c r="P31" s="1265"/>
      <c r="Q31" s="1265"/>
      <c r="R31" s="1265"/>
      <c r="S31" s="1265"/>
      <c r="T31" s="1265"/>
      <c r="U31" s="1265"/>
      <c r="V31" s="1265"/>
      <c r="W31" s="1265"/>
      <c r="X31" s="1265"/>
      <c r="Y31" s="1265"/>
      <c r="Z31" s="1265"/>
      <c r="AA31" s="1265"/>
      <c r="AB31" s="1265"/>
      <c r="AC31" s="1265"/>
      <c r="AD31" s="1265"/>
      <c r="AE31" s="1265"/>
      <c r="AF31" s="1265"/>
      <c r="AG31" s="1265"/>
      <c r="AH31" s="1265"/>
      <c r="AI31" s="1265"/>
      <c r="AJ31" s="1265"/>
      <c r="AK31" s="1265"/>
      <c r="AL31" s="204"/>
    </row>
    <row r="32" spans="1:38" ht="13">
      <c r="A32" s="4"/>
      <c r="C32" s="2"/>
    </row>
    <row r="33" spans="1:38">
      <c r="A33" s="4"/>
      <c r="D33" s="1275" t="s">
        <v>2143</v>
      </c>
      <c r="E33" s="1275"/>
      <c r="F33" s="1275"/>
      <c r="G33" s="1275"/>
      <c r="H33" s="1275"/>
      <c r="I33" s="1275"/>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5"/>
      <c r="AG33" s="1275"/>
      <c r="AH33" s="1275"/>
      <c r="AI33" s="1275"/>
      <c r="AJ33" s="1275"/>
      <c r="AK33" s="1275"/>
    </row>
    <row r="34" spans="1:38">
      <c r="A34" s="4"/>
      <c r="D34" s="1275"/>
      <c r="E34" s="1275"/>
      <c r="F34" s="1275"/>
      <c r="G34" s="1275"/>
      <c r="H34" s="1275"/>
      <c r="I34" s="1275"/>
      <c r="J34" s="1275"/>
      <c r="K34" s="1275"/>
      <c r="L34" s="1275"/>
      <c r="M34" s="1275"/>
      <c r="N34" s="1275"/>
      <c r="O34" s="1275"/>
      <c r="P34" s="1275"/>
      <c r="Q34" s="1275"/>
      <c r="R34" s="1275"/>
      <c r="S34" s="1275"/>
      <c r="T34" s="1275"/>
      <c r="U34" s="1275"/>
      <c r="V34" s="1275"/>
      <c r="W34" s="1275"/>
      <c r="X34" s="1275"/>
      <c r="Y34" s="1275"/>
      <c r="Z34" s="1275"/>
      <c r="AA34" s="1275"/>
      <c r="AB34" s="1275"/>
      <c r="AC34" s="1275"/>
      <c r="AD34" s="1275"/>
      <c r="AE34" s="1275"/>
      <c r="AF34" s="1275"/>
      <c r="AG34" s="1275"/>
      <c r="AH34" s="1275"/>
      <c r="AI34" s="1275"/>
      <c r="AJ34" s="1275"/>
      <c r="AK34" s="1275"/>
    </row>
    <row r="35" spans="1:38" ht="13">
      <c r="A35" s="4"/>
      <c r="D35" s="120"/>
      <c r="E35" s="1270" t="s">
        <v>2046</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ht="13">
      <c r="A36" s="4"/>
      <c r="D36" s="120"/>
      <c r="E36" s="1270" t="s">
        <v>2047</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654</v>
      </c>
      <c r="F40" s="1263" t="s">
        <v>1165</v>
      </c>
    </row>
    <row r="41" spans="1:38" s="1263" customFormat="1" ht="13.15" customHeight="1">
      <c r="A41" s="4"/>
      <c r="B41"/>
      <c r="C41" s="2"/>
      <c r="D41" s="4"/>
      <c r="E41" s="4"/>
    </row>
    <row r="42" spans="1:38" ht="13">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9" t="s">
        <v>1247</v>
      </c>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row>
    <row r="44" spans="1:38" s="118" customFormat="1" ht="13">
      <c r="A44" s="4"/>
      <c r="B44"/>
      <c r="C44" s="2"/>
      <c r="D44" s="4"/>
      <c r="E44" s="4"/>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row>
    <row r="45" spans="1:38" s="118" customFormat="1" ht="13.15" customHeight="1">
      <c r="A45" s="4"/>
      <c r="B45"/>
      <c r="C45" s="2"/>
      <c r="D45" s="4"/>
      <c r="E45" s="4"/>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ht="13">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ht="13">
      <c r="A48" s="4"/>
      <c r="C48" s="2"/>
      <c r="D48" s="4"/>
      <c r="E48" s="3" t="s">
        <v>349</v>
      </c>
      <c r="F48" s="1263" t="s">
        <v>2041</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ht="13">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ht="13">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8" t="s">
        <v>1192</v>
      </c>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8" t="s">
        <v>576</v>
      </c>
      <c r="H56" s="1268"/>
      <c r="I56" s="1268"/>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8" t="s">
        <v>2042</v>
      </c>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row>
    <row r="58" spans="1:38" ht="13">
      <c r="A58" s="204"/>
      <c r="B58" s="204"/>
      <c r="C58" s="205"/>
      <c r="D58" s="205"/>
      <c r="E58" s="204"/>
      <c r="F58" s="206"/>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row>
    <row r="59" spans="1:38" ht="13">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688</v>
      </c>
      <c r="G64" s="1263" t="s">
        <v>1167</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ht="13">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ht="13">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510</v>
      </c>
      <c r="G67" s="1263" t="s">
        <v>1168</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ht="13">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688</v>
      </c>
      <c r="G70" s="1263" t="s">
        <v>1169</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ht="13">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ht="13">
      <c r="A72" s="4"/>
      <c r="C72" s="2"/>
      <c r="D72" s="4"/>
      <c r="E72" s="4"/>
      <c r="F72" s="8" t="s">
        <v>510</v>
      </c>
      <c r="G72" s="1263" t="s">
        <v>1170</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ht="13">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ht="13">
      <c r="A74" s="4"/>
      <c r="C74" s="2"/>
      <c r="D74" s="4"/>
      <c r="E74" s="4"/>
      <c r="F74" s="8"/>
      <c r="G74" s="120" t="s">
        <v>751</v>
      </c>
      <c r="H74" s="4"/>
      <c r="J74" s="120"/>
      <c r="K74" s="120"/>
      <c r="L74" s="120"/>
      <c r="P74" s="4"/>
      <c r="Q74" s="4"/>
      <c r="R74" s="4"/>
      <c r="S74" s="4"/>
      <c r="T74" s="4"/>
      <c r="U74" s="4"/>
      <c r="V74" s="4"/>
      <c r="W74" s="4"/>
      <c r="X74" s="4"/>
      <c r="Y74" s="4"/>
      <c r="Z74" s="4"/>
      <c r="AA74" s="4"/>
      <c r="AB74" s="4"/>
    </row>
    <row r="75" spans="1:37" ht="13">
      <c r="A75" s="4"/>
      <c r="C75" s="2"/>
      <c r="D75" s="4"/>
      <c r="E75" s="4"/>
      <c r="F75" s="8"/>
      <c r="G75" s="120" t="s">
        <v>865</v>
      </c>
      <c r="J75" s="120"/>
      <c r="K75" s="120"/>
      <c r="L75" s="120"/>
      <c r="P75" s="4"/>
      <c r="Q75" s="4"/>
      <c r="R75" s="4"/>
      <c r="S75" s="4"/>
      <c r="T75" s="4"/>
      <c r="U75" s="4"/>
      <c r="V75" s="4"/>
      <c r="W75" s="4"/>
      <c r="X75" s="4"/>
      <c r="Y75" s="4"/>
      <c r="Z75" s="4"/>
      <c r="AA75" s="4"/>
      <c r="AB75" s="4"/>
    </row>
    <row r="76" spans="1:37" ht="13">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ht="13">
      <c r="A77" s="4"/>
      <c r="C77" s="2"/>
      <c r="D77" s="4"/>
      <c r="E77" s="4"/>
      <c r="F77" s="4"/>
      <c r="G77" s="4" t="s">
        <v>508</v>
      </c>
      <c r="H77" s="4" t="s">
        <v>866</v>
      </c>
      <c r="K77" s="4"/>
      <c r="L77" s="4"/>
      <c r="M77" s="4"/>
      <c r="P77" s="4"/>
      <c r="Q77" s="4"/>
      <c r="R77" s="4"/>
      <c r="S77" s="4"/>
      <c r="T77" s="4"/>
      <c r="U77" s="4"/>
      <c r="V77" s="4"/>
      <c r="W77" s="4"/>
      <c r="X77" s="4"/>
      <c r="Y77" s="4"/>
      <c r="Z77" s="4"/>
      <c r="AA77" s="4"/>
      <c r="AB77" s="4"/>
    </row>
    <row r="78" spans="1:37" ht="13">
      <c r="A78" s="4"/>
      <c r="C78" s="2"/>
      <c r="D78" s="4"/>
      <c r="E78" s="4"/>
      <c r="F78" s="4"/>
      <c r="G78" s="4" t="s">
        <v>758</v>
      </c>
      <c r="H78" s="4" t="s">
        <v>754</v>
      </c>
      <c r="K78" s="4"/>
      <c r="L78" s="4"/>
      <c r="M78" s="4"/>
      <c r="P78" s="4"/>
      <c r="Q78" s="4"/>
      <c r="R78" s="4"/>
      <c r="S78" s="4"/>
      <c r="T78" s="4"/>
      <c r="U78" s="4"/>
      <c r="V78" s="4"/>
      <c r="W78" s="4"/>
      <c r="X78" s="4"/>
      <c r="Y78" s="4"/>
      <c r="Z78" s="4"/>
      <c r="AA78" s="4"/>
      <c r="AB78" s="4"/>
    </row>
    <row r="79" spans="1:37" ht="13">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3" t="s">
        <v>1171</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ht="13">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ht="13">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ht="13">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3" t="s">
        <v>1172</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ht="13">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ht="13">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ht="13">
      <c r="A87" s="4"/>
      <c r="C87" s="2"/>
      <c r="D87" s="4"/>
      <c r="E87" s="4" t="s">
        <v>262</v>
      </c>
      <c r="F87" t="s">
        <v>867</v>
      </c>
      <c r="G87" s="4"/>
      <c r="L87" s="4"/>
      <c r="M87" s="4"/>
      <c r="P87" s="4"/>
      <c r="Q87" s="4"/>
      <c r="R87" s="4"/>
      <c r="S87" s="4"/>
      <c r="T87" s="4"/>
      <c r="U87" s="4"/>
      <c r="V87" s="4"/>
      <c r="W87" s="4"/>
      <c r="X87" s="4"/>
      <c r="Y87" s="4"/>
      <c r="Z87" s="4"/>
      <c r="AA87" s="4"/>
      <c r="AB87" s="4"/>
    </row>
    <row r="88" spans="1:37" ht="13">
      <c r="A88" s="4"/>
      <c r="C88" s="2"/>
      <c r="D88" s="4"/>
      <c r="E88" s="4"/>
      <c r="G88" s="1266" t="s">
        <v>1173</v>
      </c>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c r="G89" s="1266"/>
      <c r="H89" s="1266"/>
      <c r="I89" s="1266"/>
      <c r="J89" s="1266"/>
      <c r="K89" s="1266"/>
      <c r="L89" s="1266"/>
      <c r="M89" s="1266"/>
      <c r="N89" s="1266"/>
      <c r="O89" s="1266"/>
      <c r="P89" s="1266"/>
      <c r="Q89" s="1266"/>
      <c r="R89" s="1266"/>
      <c r="S89" s="1266"/>
      <c r="T89" s="1266"/>
      <c r="U89" s="1266"/>
      <c r="V89" s="1266"/>
      <c r="W89" s="1266"/>
      <c r="X89" s="1266"/>
      <c r="Y89" s="1266"/>
      <c r="Z89" s="1266"/>
      <c r="AA89" s="1266"/>
      <c r="AB89" s="1266"/>
      <c r="AC89" s="1266"/>
      <c r="AD89" s="1266"/>
      <c r="AE89" s="1266"/>
      <c r="AF89" s="1266"/>
      <c r="AG89" s="1266"/>
      <c r="AH89" s="1266"/>
      <c r="AI89" s="1266"/>
      <c r="AJ89" s="1266"/>
      <c r="AK89" s="1266"/>
    </row>
    <row r="90" spans="1:37" ht="13">
      <c r="A90" s="4"/>
      <c r="C90" s="2"/>
      <c r="D90" s="4"/>
      <c r="E90" s="4"/>
      <c r="G90" s="1266"/>
      <c r="H90" s="1266"/>
      <c r="I90" s="1266"/>
      <c r="J90" s="1266"/>
      <c r="K90" s="1266"/>
      <c r="L90" s="1266"/>
      <c r="M90" s="1266"/>
      <c r="N90" s="1266"/>
      <c r="O90" s="1266"/>
      <c r="P90" s="1266"/>
      <c r="Q90" s="1266"/>
      <c r="R90" s="1266"/>
      <c r="S90" s="1266"/>
      <c r="T90" s="1266"/>
      <c r="U90" s="1266"/>
      <c r="V90" s="1266"/>
      <c r="W90" s="1266"/>
      <c r="X90" s="1266"/>
      <c r="Y90" s="1266"/>
      <c r="Z90" s="1266"/>
      <c r="AA90" s="1266"/>
      <c r="AB90" s="1266"/>
      <c r="AC90" s="1266"/>
      <c r="AD90" s="1266"/>
      <c r="AE90" s="1266"/>
      <c r="AF90" s="1266"/>
      <c r="AG90" s="1266"/>
      <c r="AH90" s="1266"/>
      <c r="AI90" s="1266"/>
      <c r="AJ90" s="1266"/>
      <c r="AK90" s="1266"/>
    </row>
    <row r="91" spans="1:37" ht="13">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3" t="s">
        <v>1174</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ht="13">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ht="13">
      <c r="A94" s="4"/>
      <c r="C94" s="2"/>
      <c r="D94" s="4"/>
      <c r="E94" s="4" t="s">
        <v>905</v>
      </c>
      <c r="F94" s="204" t="s">
        <v>906</v>
      </c>
      <c r="G94" s="204"/>
      <c r="L94" s="4"/>
      <c r="M94" s="4"/>
      <c r="P94" s="4"/>
      <c r="Q94" s="4"/>
      <c r="R94" s="4"/>
      <c r="S94" s="4"/>
      <c r="T94" s="4"/>
      <c r="U94" s="4"/>
      <c r="V94" s="4"/>
      <c r="W94" s="4"/>
      <c r="X94" s="4"/>
      <c r="Y94" s="4"/>
      <c r="Z94" s="4"/>
      <c r="AA94" s="4"/>
      <c r="AB94" s="4"/>
    </row>
    <row r="95" spans="1:37" ht="13">
      <c r="A95" s="4"/>
      <c r="C95" s="2"/>
      <c r="D95" s="4"/>
      <c r="E95" s="4"/>
      <c r="G95" s="1263" t="s">
        <v>1175</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ht="13">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ht="13">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ht="13">
      <c r="A98" s="4"/>
      <c r="D98" s="99"/>
      <c r="E98" s="1267" t="s">
        <v>1176</v>
      </c>
      <c r="F98" s="1267"/>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ht="13">
      <c r="A99" s="4"/>
      <c r="D99" s="99"/>
      <c r="E99" s="1267"/>
      <c r="F99" s="1267"/>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430</v>
      </c>
      <c r="E103" s="2"/>
      <c r="F103" s="2"/>
      <c r="G103" s="2" t="s">
        <v>1187</v>
      </c>
      <c r="H103" s="2"/>
      <c r="I103" s="2"/>
      <c r="K103" s="2"/>
    </row>
    <row r="104" spans="1:38" ht="13">
      <c r="B104" s="2"/>
      <c r="C104" s="2"/>
      <c r="D104" s="2" t="s">
        <v>207</v>
      </c>
      <c r="E104" s="2" t="s">
        <v>1189</v>
      </c>
      <c r="F104" s="2"/>
      <c r="G104" s="2"/>
      <c r="H104" s="2"/>
      <c r="I104" s="2"/>
      <c r="J104" s="2"/>
      <c r="K104" s="2"/>
      <c r="L104" s="2"/>
      <c r="M104" s="2"/>
    </row>
    <row r="105" spans="1:38" ht="13">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ht="13">
      <c r="E109" s="4" t="s">
        <v>113</v>
      </c>
      <c r="F109" s="98" t="s">
        <v>657</v>
      </c>
      <c r="G109" s="2"/>
      <c r="H109" s="2"/>
      <c r="I109" s="2"/>
      <c r="J109" s="2"/>
    </row>
    <row r="110" spans="1:38">
      <c r="E110" s="4"/>
      <c r="F110" t="s">
        <v>658</v>
      </c>
    </row>
    <row r="111" spans="1:38">
      <c r="E111" s="4"/>
    </row>
    <row r="112" spans="1:38" ht="13">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ht="13">
      <c r="F117" s="4" t="s">
        <v>1016</v>
      </c>
      <c r="G117" s="4"/>
    </row>
    <row r="118" spans="2:10" ht="13">
      <c r="F118" s="99" t="s">
        <v>1188</v>
      </c>
      <c r="G118" s="99"/>
    </row>
    <row r="119" spans="2:10" ht="13">
      <c r="G119" s="99"/>
    </row>
    <row r="120" spans="2:10">
      <c r="E120" s="4" t="s">
        <v>764</v>
      </c>
      <c r="F120" s="98" t="s">
        <v>378</v>
      </c>
    </row>
    <row r="121" spans="2:10">
      <c r="E121" s="4"/>
      <c r="F121" s="4" t="s">
        <v>1008</v>
      </c>
    </row>
    <row r="122" spans="2:10" ht="13">
      <c r="B122" s="2"/>
      <c r="C122" s="2"/>
      <c r="F122" s="2"/>
    </row>
    <row r="123" spans="2:10" ht="13">
      <c r="B123" s="2"/>
      <c r="C123" s="2" t="s">
        <v>431</v>
      </c>
      <c r="G123" s="2" t="s">
        <v>379</v>
      </c>
    </row>
    <row r="124" spans="2:10" ht="13">
      <c r="B124" s="2"/>
      <c r="C124" s="2"/>
      <c r="D124" s="2" t="s">
        <v>207</v>
      </c>
      <c r="E124" s="2" t="s">
        <v>320</v>
      </c>
      <c r="F124" s="2"/>
      <c r="G124" s="2"/>
      <c r="H124" s="2"/>
      <c r="I124" s="2"/>
      <c r="J124" s="2"/>
    </row>
    <row r="125" spans="2:10" ht="13">
      <c r="B125" s="2"/>
      <c r="C125" s="2"/>
      <c r="E125" s="4" t="s">
        <v>924</v>
      </c>
      <c r="F125" s="4"/>
    </row>
    <row r="126" spans="2:10"/>
    <row r="127" spans="2:10" ht="13">
      <c r="D127" s="2" t="s">
        <v>341</v>
      </c>
      <c r="E127" s="2" t="s">
        <v>578</v>
      </c>
    </row>
    <row r="128" spans="2:10">
      <c r="E128" s="4" t="s">
        <v>924</v>
      </c>
      <c r="F128" s="4"/>
    </row>
    <row r="129" spans="4:37"/>
    <row r="130" spans="4:37" ht="13">
      <c r="D130" s="2" t="s">
        <v>575</v>
      </c>
      <c r="E130" s="2" t="s">
        <v>725</v>
      </c>
      <c r="G130" s="2"/>
      <c r="H130" s="2"/>
      <c r="I130" s="2"/>
      <c r="J130" s="2"/>
      <c r="K130" s="2"/>
      <c r="L130" s="2"/>
      <c r="M130" s="2"/>
      <c r="N130" s="2"/>
    </row>
    <row r="131" spans="4:37" ht="13">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515</v>
      </c>
      <c r="E135" s="2" t="s">
        <v>518</v>
      </c>
      <c r="F135" s="2"/>
    </row>
    <row r="136" spans="4:37">
      <c r="E136" s="3" t="s">
        <v>1214</v>
      </c>
      <c r="F136" s="4"/>
    </row>
    <row r="137" spans="4:37">
      <c r="F137" s="4"/>
    </row>
    <row r="138" spans="4:37" ht="13">
      <c r="D138" s="2" t="s">
        <v>303</v>
      </c>
      <c r="E138" s="2" t="s">
        <v>2043</v>
      </c>
      <c r="F138" s="2"/>
      <c r="G138" s="2"/>
      <c r="H138" s="2"/>
    </row>
    <row r="139" spans="4:37">
      <c r="E139" t="s">
        <v>112</v>
      </c>
      <c r="F139" t="s">
        <v>52</v>
      </c>
    </row>
    <row r="140" spans="4:37">
      <c r="E140" t="s">
        <v>113</v>
      </c>
      <c r="F140" t="s">
        <v>467</v>
      </c>
    </row>
    <row r="141" spans="4:37"/>
    <row r="142" spans="4:37" ht="13">
      <c r="D142" s="2" t="s">
        <v>429</v>
      </c>
      <c r="E142" s="2" t="s">
        <v>2044</v>
      </c>
    </row>
    <row r="143" spans="4:37">
      <c r="E143" s="204" t="s">
        <v>2045</v>
      </c>
      <c r="F143" s="204"/>
    </row>
    <row r="144" spans="4:37"/>
    <row r="145" spans="3:7" ht="13">
      <c r="C145" s="2" t="s">
        <v>6</v>
      </c>
      <c r="G145" s="2" t="s">
        <v>380</v>
      </c>
    </row>
    <row r="146" spans="3:7" ht="13">
      <c r="D146" s="2" t="s">
        <v>207</v>
      </c>
      <c r="E146" s="2" t="s">
        <v>135</v>
      </c>
    </row>
    <row r="147" spans="3:7">
      <c r="E147" t="s">
        <v>798</v>
      </c>
    </row>
    <row r="148" spans="3:7"/>
    <row r="149" spans="3:7" ht="13">
      <c r="D149" s="2" t="s">
        <v>341</v>
      </c>
      <c r="E149" s="2" t="s">
        <v>525</v>
      </c>
      <c r="F149" s="2"/>
    </row>
    <row r="150" spans="3:7">
      <c r="E150" s="4" t="s">
        <v>926</v>
      </c>
      <c r="F150" s="4"/>
    </row>
    <row r="151" spans="3:7"/>
    <row r="152" spans="3:7" ht="13">
      <c r="D152" s="2" t="s">
        <v>575</v>
      </c>
      <c r="E152" s="2" t="s">
        <v>554</v>
      </c>
    </row>
    <row r="153" spans="3:7">
      <c r="E153" s="4" t="s">
        <v>927</v>
      </c>
    </row>
    <row r="154" spans="3:7">
      <c r="E154" s="4" t="s">
        <v>925</v>
      </c>
      <c r="G154" s="4"/>
    </row>
    <row r="155" spans="3:7"/>
    <row r="156" spans="3:7" ht="13">
      <c r="D156" s="2" t="s">
        <v>515</v>
      </c>
      <c r="E156" s="2" t="s">
        <v>534</v>
      </c>
    </row>
    <row r="157" spans="3:7">
      <c r="E157" t="s">
        <v>112</v>
      </c>
      <c r="F157" s="4" t="s">
        <v>928</v>
      </c>
    </row>
    <row r="158" spans="3:7">
      <c r="E158" s="4" t="s">
        <v>113</v>
      </c>
      <c r="F158" s="4" t="s">
        <v>929</v>
      </c>
    </row>
    <row r="159" spans="3:7">
      <c r="E159" s="4" t="s">
        <v>119</v>
      </c>
      <c r="F159" t="s">
        <v>726</v>
      </c>
    </row>
    <row r="160" spans="3:7"/>
    <row r="161" spans="3:20" ht="13">
      <c r="D161" s="2" t="s">
        <v>303</v>
      </c>
      <c r="E161" s="2" t="s">
        <v>381</v>
      </c>
    </row>
    <row r="162" spans="3:20">
      <c r="E162" s="4" t="s">
        <v>930</v>
      </c>
      <c r="F162" s="4"/>
    </row>
    <row r="163" spans="3:20"/>
    <row r="164" spans="3:20" ht="13">
      <c r="D164" s="2" t="s">
        <v>429</v>
      </c>
      <c r="E164" s="2" t="s">
        <v>172</v>
      </c>
    </row>
    <row r="165" spans="3:20">
      <c r="E165" s="4" t="s">
        <v>932</v>
      </c>
    </row>
    <row r="166" spans="3:20">
      <c r="E166" s="4" t="s">
        <v>931</v>
      </c>
    </row>
    <row r="167" spans="3:20"/>
    <row r="168" spans="3:20" ht="13">
      <c r="D168" s="2" t="s">
        <v>558</v>
      </c>
      <c r="E168" s="2" t="s">
        <v>623</v>
      </c>
    </row>
    <row r="169" spans="3:20">
      <c r="E169" t="s">
        <v>112</v>
      </c>
      <c r="F169" t="s">
        <v>727</v>
      </c>
    </row>
    <row r="170" spans="3:20">
      <c r="E170" t="s">
        <v>113</v>
      </c>
      <c r="F170" t="s">
        <v>297</v>
      </c>
    </row>
    <row r="171" spans="3:20">
      <c r="F171" s="4"/>
    </row>
    <row r="172" spans="3:20" ht="13">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578</v>
      </c>
    </row>
    <row r="176" spans="3:20" ht="13">
      <c r="D176" s="2" t="s">
        <v>207</v>
      </c>
      <c r="E176" s="2" t="s">
        <v>298</v>
      </c>
      <c r="G176" s="4"/>
      <c r="H176" s="4"/>
      <c r="I176" s="4"/>
      <c r="J176" s="4"/>
      <c r="K176" s="4"/>
      <c r="L176" s="4"/>
      <c r="M176" s="4"/>
      <c r="N176" s="4"/>
    </row>
    <row r="177" spans="2:19">
      <c r="E177" t="s">
        <v>112</v>
      </c>
      <c r="F177" s="4" t="s">
        <v>933</v>
      </c>
    </row>
    <row r="178" spans="2:19" ht="13">
      <c r="F178" s="120" t="s">
        <v>1149</v>
      </c>
      <c r="I178" s="120"/>
    </row>
    <row r="179" spans="2:19" ht="13">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ht="13">
      <c r="D183" s="2" t="s">
        <v>341</v>
      </c>
      <c r="E183" s="2" t="s">
        <v>1009</v>
      </c>
    </row>
    <row r="184" spans="2:19">
      <c r="B184" s="4"/>
      <c r="C184" s="4"/>
      <c r="E184" s="4" t="s">
        <v>710</v>
      </c>
      <c r="F184" s="4"/>
      <c r="I184" s="4"/>
    </row>
    <row r="185" spans="2:19" ht="13">
      <c r="B185" s="4"/>
      <c r="C185" s="4"/>
      <c r="E185" s="4" t="s">
        <v>1007</v>
      </c>
      <c r="F185" s="120"/>
      <c r="G185" s="4"/>
      <c r="I185" s="120"/>
    </row>
    <row r="186" spans="2:19" ht="13">
      <c r="B186" s="4"/>
      <c r="C186" s="4"/>
      <c r="F186" s="120"/>
      <c r="G186" s="4"/>
      <c r="I186" s="120"/>
    </row>
    <row r="187" spans="2:19" ht="13">
      <c r="B187" s="4"/>
      <c r="C187" s="4"/>
      <c r="D187" s="2" t="s">
        <v>575</v>
      </c>
      <c r="E187" s="2" t="s">
        <v>3</v>
      </c>
      <c r="F187" s="120"/>
      <c r="G187" s="4"/>
      <c r="I187" s="120"/>
    </row>
    <row r="188" spans="2:19" ht="13">
      <c r="B188" s="4"/>
      <c r="C188" s="4"/>
      <c r="D188" s="2"/>
      <c r="E188" s="4" t="s">
        <v>299</v>
      </c>
      <c r="F188" s="4"/>
      <c r="G188" s="4"/>
      <c r="I188" s="120"/>
    </row>
    <row r="189" spans="2:19" ht="13">
      <c r="B189" s="4"/>
      <c r="C189" s="4"/>
      <c r="F189" s="120"/>
      <c r="G189" s="4"/>
      <c r="I189" s="120"/>
    </row>
    <row r="190" spans="2:19" ht="13">
      <c r="D190" s="2" t="s">
        <v>515</v>
      </c>
      <c r="E190" s="2" t="s">
        <v>111</v>
      </c>
    </row>
    <row r="191" spans="2:19" ht="13">
      <c r="B191" s="4"/>
      <c r="C191" s="2"/>
      <c r="E191" t="s">
        <v>112</v>
      </c>
      <c r="F191" s="4" t="s">
        <v>1017</v>
      </c>
      <c r="G191" s="4"/>
      <c r="H191" s="4"/>
      <c r="I191" s="4"/>
    </row>
    <row r="192" spans="2:19" ht="13">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429</v>
      </c>
      <c r="E199" s="2" t="s">
        <v>120</v>
      </c>
      <c r="G199" s="4"/>
      <c r="H199" s="4"/>
      <c r="I199" s="4"/>
      <c r="J199" s="4"/>
      <c r="M199" s="4"/>
      <c r="N199" s="4"/>
      <c r="O199" s="4"/>
      <c r="P199" s="4"/>
      <c r="Q199" s="4"/>
      <c r="R199" s="4"/>
      <c r="S199" s="4"/>
    </row>
    <row r="200" spans="2:37" ht="13">
      <c r="B200" s="4"/>
      <c r="C200" s="4"/>
      <c r="D200" s="2"/>
      <c r="E200" s="4" t="s">
        <v>112</v>
      </c>
      <c r="F200" s="4" t="s">
        <v>936</v>
      </c>
      <c r="M200" s="4"/>
      <c r="N200" s="4"/>
      <c r="O200" s="4"/>
      <c r="P200" s="4"/>
      <c r="Q200" s="4"/>
      <c r="R200" s="4"/>
      <c r="S200" s="4"/>
    </row>
    <row r="201" spans="2:37" ht="13">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ht="13">
      <c r="B204" s="4"/>
      <c r="C204" s="4"/>
      <c r="D204" s="2"/>
      <c r="E204" s="4" t="s">
        <v>582</v>
      </c>
      <c r="F204" s="4" t="s">
        <v>938</v>
      </c>
      <c r="M204" s="4"/>
      <c r="N204" s="4"/>
      <c r="O204" s="4"/>
      <c r="P204" s="4"/>
      <c r="Q204" s="4"/>
      <c r="R204" s="4"/>
      <c r="S204" s="4"/>
    </row>
    <row r="205" spans="2:37" ht="13">
      <c r="B205" s="4"/>
      <c r="C205" s="4"/>
      <c r="D205" s="2"/>
      <c r="F205" t="s">
        <v>654</v>
      </c>
      <c r="G205" s="1263" t="s">
        <v>1177</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ht="13">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ht="13">
      <c r="B207" s="4"/>
      <c r="C207" s="4"/>
      <c r="D207" s="2"/>
      <c r="M207" s="4"/>
      <c r="N207" s="4"/>
      <c r="O207" s="4"/>
      <c r="P207" s="4"/>
      <c r="Q207" s="4"/>
      <c r="R207" s="4"/>
      <c r="S207" s="4"/>
    </row>
    <row r="208" spans="2:37" ht="13">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556</v>
      </c>
      <c r="E211" s="2" t="s">
        <v>248</v>
      </c>
      <c r="F211" s="4"/>
      <c r="G211" s="4"/>
      <c r="I211" s="4"/>
      <c r="J211" s="4"/>
      <c r="M211" s="4"/>
      <c r="N211" s="4"/>
      <c r="O211" s="4"/>
      <c r="P211" s="4"/>
      <c r="Q211" s="4"/>
      <c r="R211" s="4"/>
      <c r="S211" s="4"/>
      <c r="T211" s="4"/>
      <c r="U211" s="4"/>
      <c r="V211" s="4"/>
      <c r="W211" s="4"/>
    </row>
    <row r="212" spans="1:38" ht="13">
      <c r="B212" s="4"/>
      <c r="C212" s="4"/>
      <c r="D212" s="2"/>
      <c r="E212" s="4" t="s">
        <v>299</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430</v>
      </c>
      <c r="D223" s="4"/>
      <c r="E223" s="4"/>
      <c r="F223" s="4"/>
      <c r="G223" s="2" t="s">
        <v>453</v>
      </c>
      <c r="I223" s="4"/>
      <c r="J223" s="4"/>
      <c r="K223" s="4"/>
      <c r="M223" s="4"/>
      <c r="N223" s="4"/>
      <c r="O223" s="4"/>
      <c r="P223" s="4"/>
      <c r="Q223" s="4"/>
      <c r="R223" s="4"/>
      <c r="S223" s="4"/>
    </row>
    <row r="224" spans="1:38" ht="13">
      <c r="B224" s="2"/>
      <c r="E224" s="4" t="s">
        <v>112</v>
      </c>
      <c r="F224" s="4" t="s">
        <v>717</v>
      </c>
      <c r="G224" s="4"/>
      <c r="I224" s="4"/>
      <c r="J224" s="4"/>
      <c r="K224" s="4"/>
      <c r="L224" s="4"/>
      <c r="M224" s="4"/>
      <c r="N224" s="4"/>
      <c r="O224" s="4"/>
      <c r="P224" s="4"/>
      <c r="Q224" s="4"/>
      <c r="R224" s="4"/>
      <c r="S224" s="4"/>
    </row>
    <row r="225" spans="2:19" ht="13">
      <c r="B225" s="2"/>
      <c r="E225" s="4" t="s">
        <v>113</v>
      </c>
      <c r="F225" s="4" t="s">
        <v>681</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431</v>
      </c>
      <c r="D227" s="4"/>
      <c r="E227" s="4"/>
      <c r="F227" s="4"/>
      <c r="G227" s="2" t="s">
        <v>21</v>
      </c>
      <c r="I227" s="4"/>
      <c r="J227" s="4"/>
      <c r="K227" s="4"/>
      <c r="L227" s="4"/>
      <c r="M227" s="4"/>
      <c r="N227" s="4"/>
      <c r="O227" s="4"/>
      <c r="P227" s="4"/>
      <c r="Q227" s="4"/>
      <c r="R227" s="4"/>
      <c r="S227" s="4"/>
    </row>
    <row r="228" spans="2:19" ht="13">
      <c r="B228" s="2"/>
      <c r="E228" s="4" t="s">
        <v>112</v>
      </c>
      <c r="F228" s="4" t="s">
        <v>718</v>
      </c>
      <c r="G228" s="4"/>
      <c r="I228" s="4"/>
      <c r="J228" s="4"/>
      <c r="K228" s="4"/>
      <c r="L228" s="4"/>
      <c r="M228" s="4"/>
      <c r="N228" s="4"/>
      <c r="O228" s="4"/>
      <c r="P228" s="4"/>
      <c r="Q228" s="4"/>
      <c r="R228" s="4"/>
      <c r="S228" s="4"/>
    </row>
    <row r="229" spans="2:19" ht="13">
      <c r="B229" s="2"/>
      <c r="E229" s="4"/>
      <c r="F229" s="4" t="s">
        <v>719</v>
      </c>
      <c r="G229" s="4"/>
      <c r="H229" s="4"/>
      <c r="I229" s="4"/>
      <c r="J229" s="4"/>
      <c r="K229" s="4"/>
      <c r="L229" s="4"/>
      <c r="M229" s="4"/>
      <c r="N229" s="4"/>
      <c r="O229" s="4"/>
      <c r="P229" s="4"/>
      <c r="Q229" s="4"/>
      <c r="R229" s="4"/>
      <c r="S229" s="4"/>
    </row>
    <row r="230" spans="2:19" ht="13">
      <c r="B230" s="2"/>
      <c r="D230" s="4"/>
      <c r="E230" s="4" t="s">
        <v>113</v>
      </c>
      <c r="F230" s="4" t="s">
        <v>681</v>
      </c>
      <c r="G230" s="4"/>
      <c r="I230" s="4"/>
      <c r="J230" s="4"/>
      <c r="K230" s="4"/>
      <c r="L230" s="4"/>
      <c r="M230" s="4"/>
      <c r="N230" s="4"/>
      <c r="O230" s="4"/>
      <c r="P230" s="4"/>
      <c r="Q230" s="4"/>
      <c r="R230" s="4"/>
      <c r="S230" s="4"/>
    </row>
    <row r="231" spans="2:19" ht="13">
      <c r="B231" s="2"/>
      <c r="E231" s="4" t="s">
        <v>119</v>
      </c>
      <c r="F231" s="98" t="s">
        <v>953</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327</v>
      </c>
      <c r="F233" s="4"/>
      <c r="J233" s="4"/>
      <c r="K233" s="4"/>
      <c r="M233" s="4"/>
      <c r="N233" s="4"/>
      <c r="O233" s="4"/>
      <c r="P233" s="4"/>
      <c r="Q233" s="4"/>
      <c r="R233" s="4"/>
      <c r="S233" s="4"/>
    </row>
    <row r="234" spans="2:19" ht="13">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ht="13">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ht="13">
      <c r="B245" s="4"/>
      <c r="C245" s="4"/>
      <c r="D245" s="2"/>
      <c r="E245" s="4" t="s">
        <v>119</v>
      </c>
      <c r="F245" s="4" t="s">
        <v>328</v>
      </c>
      <c r="H245" s="4"/>
      <c r="I245" s="4"/>
      <c r="M245" s="4"/>
      <c r="N245" s="4"/>
      <c r="O245" s="4"/>
      <c r="P245" s="4"/>
      <c r="Q245" s="4"/>
      <c r="R245" s="4"/>
      <c r="S245" s="4"/>
    </row>
    <row r="246" spans="2:21" ht="13">
      <c r="B246" s="4"/>
      <c r="C246" s="4"/>
      <c r="D246" s="2"/>
      <c r="E246" s="2"/>
      <c r="F246" t="s">
        <v>654</v>
      </c>
      <c r="G246" s="4" t="s">
        <v>432</v>
      </c>
      <c r="I246" s="4"/>
      <c r="M246" s="4"/>
      <c r="N246" s="4"/>
      <c r="O246" s="4"/>
      <c r="P246" s="4"/>
      <c r="Q246" s="4"/>
      <c r="R246" s="4"/>
      <c r="S246" s="4"/>
    </row>
    <row r="247" spans="2:21" ht="13">
      <c r="B247" s="4"/>
      <c r="C247" s="4"/>
      <c r="D247" s="2"/>
      <c r="E247" s="2"/>
      <c r="F247" s="4"/>
      <c r="G247" s="4" t="s">
        <v>433</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383</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1150</v>
      </c>
      <c r="G251" s="4"/>
      <c r="I251" s="120"/>
      <c r="J251" s="4"/>
      <c r="K251" s="4"/>
      <c r="L251" s="4"/>
      <c r="M251" s="4"/>
      <c r="N251" s="4"/>
      <c r="O251" s="4"/>
      <c r="P251" s="4"/>
      <c r="Q251" s="4"/>
      <c r="R251" s="4"/>
      <c r="S251" s="4"/>
      <c r="T251" s="4"/>
      <c r="U251" s="4"/>
    </row>
    <row r="252" spans="2:21" ht="13">
      <c r="B252" s="2"/>
      <c r="C252" s="2"/>
      <c r="E252" s="4" t="s">
        <v>113</v>
      </c>
      <c r="F252" s="4" t="s">
        <v>939</v>
      </c>
      <c r="I252" s="4"/>
      <c r="J252" s="4"/>
      <c r="K252" s="4"/>
      <c r="L252" s="4"/>
      <c r="M252" s="4"/>
      <c r="N252" s="4"/>
      <c r="O252" s="4"/>
      <c r="P252" s="4"/>
      <c r="Q252" s="4"/>
      <c r="R252" s="4"/>
      <c r="S252" s="4"/>
      <c r="T252" s="4"/>
      <c r="U252" s="4"/>
    </row>
    <row r="253" spans="2:21" ht="13">
      <c r="B253" s="2"/>
      <c r="C253" s="2"/>
      <c r="E253" s="4"/>
      <c r="F253" s="204" t="s">
        <v>654</v>
      </c>
      <c r="G253" s="204" t="s">
        <v>812</v>
      </c>
      <c r="I253" s="3"/>
      <c r="K253" s="3"/>
      <c r="L253" s="3"/>
      <c r="M253" s="3"/>
      <c r="N253" s="3"/>
      <c r="O253" s="3"/>
      <c r="Q253" s="4"/>
      <c r="R253" s="4"/>
      <c r="S253" s="4"/>
      <c r="T253" s="4"/>
      <c r="U253" s="4"/>
    </row>
    <row r="254" spans="2:21" ht="13">
      <c r="B254" s="2"/>
      <c r="C254" s="2"/>
      <c r="E254" s="4"/>
      <c r="F254" s="204"/>
      <c r="G254" s="204" t="s">
        <v>813</v>
      </c>
      <c r="I254" s="3"/>
      <c r="K254" s="3"/>
      <c r="L254" s="3"/>
      <c r="M254" s="3"/>
      <c r="N254" s="3"/>
      <c r="O254" s="3"/>
      <c r="P254" s="3"/>
    </row>
    <row r="255" spans="2:21" ht="13">
      <c r="B255" s="2"/>
      <c r="C255" s="2"/>
      <c r="E255" s="4"/>
      <c r="F255" s="204" t="s">
        <v>348</v>
      </c>
      <c r="G255" s="204" t="s">
        <v>945</v>
      </c>
      <c r="I255" s="4"/>
      <c r="K255" s="4"/>
      <c r="L255" s="4"/>
      <c r="M255" s="4"/>
      <c r="N255" s="4"/>
      <c r="O255" s="4"/>
      <c r="P255" s="3"/>
    </row>
    <row r="256" spans="2:21" ht="13">
      <c r="B256" s="2"/>
      <c r="C256" s="2"/>
      <c r="E256" s="4"/>
      <c r="F256" s="204"/>
      <c r="G256" s="204" t="s">
        <v>871</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207</v>
      </c>
      <c r="E258" s="2" t="s">
        <v>384</v>
      </c>
      <c r="G258" s="4"/>
      <c r="H258" s="4"/>
      <c r="I258" s="4"/>
      <c r="J258" s="4"/>
      <c r="K258" s="4"/>
      <c r="L258" s="4"/>
      <c r="M258" s="4"/>
      <c r="N258" s="4"/>
      <c r="O258" s="4"/>
      <c r="P258" s="4"/>
      <c r="Q258" s="4"/>
      <c r="R258" s="4"/>
      <c r="S258" s="4"/>
    </row>
    <row r="259" spans="2:21" ht="13">
      <c r="B259" s="2"/>
      <c r="C259" s="2"/>
      <c r="E259" s="4" t="s">
        <v>112</v>
      </c>
      <c r="F259" s="4" t="s">
        <v>253</v>
      </c>
      <c r="G259" s="4"/>
      <c r="I259" s="4"/>
      <c r="J259" s="4"/>
      <c r="K259" s="4"/>
      <c r="L259" s="4"/>
      <c r="M259" s="4"/>
      <c r="N259" s="4"/>
      <c r="O259" s="4"/>
      <c r="P259" s="4"/>
      <c r="Q259" s="4"/>
      <c r="R259" s="4"/>
      <c r="S259" s="4"/>
    </row>
    <row r="260" spans="2:21" ht="13">
      <c r="B260" s="2"/>
      <c r="C260" s="2"/>
      <c r="E260" s="4" t="s">
        <v>113</v>
      </c>
      <c r="F260" s="4" t="s">
        <v>804</v>
      </c>
      <c r="G260" s="4"/>
      <c r="I260" s="4"/>
      <c r="J260" s="4"/>
      <c r="K260" s="4"/>
      <c r="L260" s="4"/>
      <c r="M260" s="4"/>
      <c r="N260" s="4"/>
      <c r="O260" s="4"/>
      <c r="P260" s="4"/>
      <c r="Q260" s="4"/>
      <c r="R260" s="4"/>
      <c r="S260" s="4"/>
    </row>
    <row r="261" spans="2:21" ht="13">
      <c r="B261" s="2"/>
      <c r="C261" s="2"/>
      <c r="E261" s="4" t="s">
        <v>119</v>
      </c>
      <c r="F261" s="4" t="s">
        <v>254</v>
      </c>
      <c r="I261" s="4"/>
      <c r="J261" s="4"/>
      <c r="K261" s="4"/>
      <c r="L261" s="4"/>
      <c r="M261" s="4"/>
      <c r="N261" s="4"/>
      <c r="O261" s="4"/>
      <c r="P261" s="4"/>
      <c r="Q261" s="4"/>
      <c r="R261" s="4"/>
      <c r="S261" s="4"/>
    </row>
    <row r="262" spans="2:21" ht="13">
      <c r="B262" s="2"/>
      <c r="C262" s="2"/>
      <c r="E262" s="2"/>
      <c r="F262" s="4" t="s">
        <v>805</v>
      </c>
      <c r="I262" s="4"/>
      <c r="J262" s="4"/>
      <c r="K262" s="4"/>
      <c r="L262" s="4"/>
      <c r="M262" s="4"/>
      <c r="N262" s="4"/>
      <c r="O262" s="4"/>
      <c r="P262" s="4"/>
      <c r="Q262" s="4"/>
      <c r="R262" s="4"/>
      <c r="S262" s="4"/>
    </row>
    <row r="263" spans="2:21" ht="13">
      <c r="B263" s="2"/>
      <c r="C263" s="2"/>
      <c r="E263" s="4" t="s">
        <v>582</v>
      </c>
      <c r="F263" s="204" t="s">
        <v>814</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341</v>
      </c>
      <c r="E265" s="2" t="s">
        <v>72</v>
      </c>
      <c r="G265" s="4"/>
      <c r="H265" s="4"/>
      <c r="I265" s="4"/>
      <c r="J265" s="4"/>
      <c r="K265" s="4"/>
      <c r="L265" s="4"/>
      <c r="M265" s="4"/>
      <c r="N265" s="4"/>
      <c r="O265" s="4"/>
      <c r="P265" s="4"/>
      <c r="Q265" s="4"/>
      <c r="R265" s="4"/>
      <c r="S265" s="4"/>
    </row>
    <row r="266" spans="2:21" ht="13">
      <c r="B266" s="2"/>
      <c r="C266" s="2"/>
      <c r="E266" s="4" t="s">
        <v>1019</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575</v>
      </c>
      <c r="E268" s="2" t="s">
        <v>287</v>
      </c>
      <c r="G268" s="4"/>
    </row>
    <row r="269" spans="2:21" ht="13">
      <c r="B269" s="2"/>
      <c r="C269" s="2"/>
      <c r="E269" s="4" t="s">
        <v>255</v>
      </c>
      <c r="F269" s="4"/>
      <c r="G269" s="4"/>
      <c r="J269" s="4"/>
      <c r="K269" s="4"/>
      <c r="L269" s="4"/>
      <c r="M269" s="4"/>
      <c r="N269" s="4"/>
    </row>
    <row r="270" spans="2:21" ht="13">
      <c r="B270" s="2"/>
      <c r="C270" s="2"/>
      <c r="E270" s="4" t="s">
        <v>946</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515</v>
      </c>
      <c r="E272" s="2" t="s">
        <v>613</v>
      </c>
      <c r="G272" s="4"/>
      <c r="H272" s="4"/>
      <c r="J272" s="4"/>
      <c r="K272" s="4"/>
      <c r="L272" s="4"/>
      <c r="M272" s="4"/>
      <c r="N272" s="4"/>
      <c r="O272" s="4"/>
      <c r="P272" s="4"/>
      <c r="Q272" s="4"/>
      <c r="R272" s="4"/>
      <c r="S272" s="4"/>
      <c r="T272" s="4"/>
      <c r="U272" s="4"/>
    </row>
    <row r="273" spans="2:23" ht="13">
      <c r="B273" s="2"/>
      <c r="D273" s="4"/>
      <c r="E273" s="4" t="s">
        <v>1012</v>
      </c>
      <c r="J273" s="4"/>
      <c r="K273" s="4"/>
      <c r="L273" s="4"/>
      <c r="M273" s="4"/>
      <c r="N273" s="4"/>
      <c r="O273" s="4"/>
      <c r="P273" s="4"/>
      <c r="Q273" s="4"/>
      <c r="R273" s="4"/>
      <c r="S273" s="4"/>
      <c r="T273" s="4"/>
      <c r="U273" s="4"/>
    </row>
    <row r="274" spans="2:23" ht="13">
      <c r="B274" s="2"/>
      <c r="D274" s="4"/>
      <c r="E274" s="4" t="s">
        <v>940</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303</v>
      </c>
      <c r="E276" s="2" t="s">
        <v>288</v>
      </c>
      <c r="K276" s="4"/>
      <c r="L276" s="4"/>
      <c r="M276" s="4"/>
      <c r="N276" s="4"/>
      <c r="O276" s="4"/>
      <c r="P276" s="4"/>
      <c r="Q276" s="4"/>
      <c r="R276" s="4"/>
      <c r="S276" s="4"/>
      <c r="T276" s="4"/>
      <c r="U276" s="4"/>
    </row>
    <row r="277" spans="2:23" ht="13">
      <c r="B277" s="2"/>
      <c r="D277" s="2"/>
      <c r="E277" t="s">
        <v>256</v>
      </c>
      <c r="K277" s="4"/>
      <c r="L277" s="4"/>
      <c r="M277" s="4"/>
      <c r="N277" s="4"/>
      <c r="O277" s="4"/>
      <c r="P277" s="4"/>
      <c r="Q277" s="4"/>
      <c r="R277" s="4"/>
      <c r="S277" s="4"/>
    </row>
    <row r="278" spans="2:23" ht="13">
      <c r="B278" s="2"/>
      <c r="D278" s="4"/>
      <c r="E278" s="4" t="s">
        <v>947</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429</v>
      </c>
      <c r="E280" s="2" t="s">
        <v>425</v>
      </c>
      <c r="G280" s="4"/>
      <c r="H280" s="4"/>
      <c r="I280" s="4"/>
      <c r="J280" s="4"/>
      <c r="K280" s="4"/>
      <c r="L280" s="4"/>
      <c r="M280" s="4"/>
      <c r="O280" s="4"/>
      <c r="P280" s="4"/>
      <c r="Q280" s="4"/>
      <c r="R280" s="4"/>
      <c r="S280" s="4"/>
    </row>
    <row r="281" spans="2:23" ht="13">
      <c r="B281" s="2"/>
      <c r="D281" s="2"/>
      <c r="E281" t="s">
        <v>257</v>
      </c>
      <c r="G281" s="4"/>
      <c r="H281" s="4"/>
      <c r="I281" s="4"/>
      <c r="J281" s="4"/>
      <c r="K281" s="4"/>
      <c r="L281" s="4"/>
      <c r="M281" s="4"/>
      <c r="P281" s="4"/>
      <c r="Q281" s="4"/>
      <c r="R281" s="4"/>
      <c r="S281" s="4"/>
    </row>
    <row r="282" spans="2:23" ht="13">
      <c r="B282" s="2"/>
      <c r="D282" s="2"/>
      <c r="E282" t="s">
        <v>258</v>
      </c>
      <c r="G282" s="4"/>
      <c r="H282" s="4"/>
      <c r="I282" s="4"/>
      <c r="J282" s="4"/>
      <c r="K282" s="4"/>
      <c r="L282" s="4"/>
      <c r="M282" s="4"/>
      <c r="P282" s="4"/>
      <c r="Q282" s="4"/>
      <c r="R282" s="4"/>
      <c r="S282" s="4"/>
    </row>
    <row r="283" spans="2:23" ht="13">
      <c r="B283" s="2"/>
      <c r="D283" s="2"/>
      <c r="E283" s="120" t="s">
        <v>948</v>
      </c>
      <c r="F283" s="120"/>
      <c r="G283" s="4"/>
      <c r="H283" s="120"/>
      <c r="I283" s="120"/>
      <c r="J283" s="4"/>
      <c r="K283" s="4"/>
      <c r="L283" s="4"/>
      <c r="M283" s="4"/>
      <c r="P283" s="4"/>
      <c r="Q283" s="4"/>
      <c r="R283" s="4"/>
      <c r="S283" s="4"/>
    </row>
    <row r="284" spans="2:23" ht="13">
      <c r="B284" s="2"/>
      <c r="D284" s="2"/>
      <c r="E284" s="449" t="s">
        <v>870</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558</v>
      </c>
      <c r="E286" s="2" t="s">
        <v>559</v>
      </c>
      <c r="K286" s="4"/>
      <c r="L286" s="4"/>
      <c r="M286" s="4"/>
      <c r="N286" s="4"/>
    </row>
    <row r="287" spans="2:23" ht="13">
      <c r="B287" s="2"/>
      <c r="D287" s="4"/>
      <c r="E287" s="4" t="s">
        <v>112</v>
      </c>
      <c r="F287" s="4" t="s">
        <v>560</v>
      </c>
      <c r="G287" s="4"/>
      <c r="O287" s="4"/>
      <c r="P287" s="4"/>
      <c r="Q287" s="4"/>
      <c r="R287" s="4"/>
      <c r="S287" s="4"/>
      <c r="T287" s="4"/>
      <c r="U287" s="4"/>
      <c r="V287" s="4"/>
      <c r="W287" s="4"/>
    </row>
    <row r="288" spans="2:23" ht="1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561</v>
      </c>
      <c r="G289" s="4"/>
      <c r="L289" s="4"/>
      <c r="M289" s="4"/>
      <c r="N289" s="4"/>
      <c r="O289" s="4"/>
      <c r="P289" s="4"/>
      <c r="Q289" s="4"/>
      <c r="R289" s="4"/>
      <c r="S289" s="4"/>
      <c r="T289" s="4"/>
      <c r="U289" s="4"/>
      <c r="V289" s="4"/>
      <c r="W289" s="4"/>
    </row>
    <row r="290" spans="2:23" ht="13">
      <c r="B290" s="2"/>
      <c r="D290" s="4"/>
      <c r="E290" s="4" t="s">
        <v>119</v>
      </c>
      <c r="F290" s="4" t="s">
        <v>259</v>
      </c>
      <c r="G290" s="4"/>
      <c r="H290" s="4"/>
      <c r="K290" s="4"/>
      <c r="L290" s="4"/>
      <c r="M290" s="4"/>
      <c r="N290" s="4"/>
      <c r="O290" s="4"/>
      <c r="P290" s="4"/>
      <c r="Q290" s="4"/>
      <c r="R290" s="4"/>
      <c r="S290" s="4"/>
      <c r="T290" s="4"/>
      <c r="U290" s="4"/>
      <c r="V290" s="4"/>
      <c r="W290" s="4"/>
    </row>
    <row r="291" spans="2:23" ht="13">
      <c r="B291" s="2"/>
      <c r="D291" s="4"/>
      <c r="E291" s="4"/>
      <c r="F291" s="4" t="s">
        <v>654</v>
      </c>
      <c r="G291" s="4" t="s">
        <v>260</v>
      </c>
      <c r="K291" s="4"/>
      <c r="L291" s="4"/>
      <c r="M291" s="4"/>
      <c r="N291" s="4"/>
      <c r="O291" s="4"/>
      <c r="P291" s="4"/>
      <c r="Q291" s="4"/>
      <c r="R291" s="4"/>
      <c r="S291" s="4"/>
      <c r="T291" s="4"/>
      <c r="U291" s="4"/>
      <c r="V291" s="4"/>
      <c r="W291" s="4"/>
    </row>
    <row r="292" spans="2:23" ht="13">
      <c r="B292" s="2"/>
      <c r="D292" s="4"/>
      <c r="E292" s="4"/>
      <c r="F292" s="4" t="s">
        <v>348</v>
      </c>
      <c r="G292" s="4" t="s">
        <v>941</v>
      </c>
      <c r="H292" s="4"/>
      <c r="K292" s="4"/>
      <c r="L292" s="4"/>
      <c r="M292" s="4"/>
      <c r="N292" s="4"/>
      <c r="O292" s="4"/>
      <c r="P292" s="4"/>
      <c r="Q292" s="4"/>
      <c r="R292" s="4"/>
      <c r="S292" s="4"/>
      <c r="T292" s="4"/>
      <c r="U292" s="4"/>
      <c r="V292" s="4"/>
      <c r="W292" s="4"/>
    </row>
    <row r="293" spans="2:23" ht="13">
      <c r="B293" s="2"/>
      <c r="D293" s="4"/>
      <c r="E293" s="4"/>
      <c r="F293" s="4" t="s">
        <v>349</v>
      </c>
      <c r="G293" s="4" t="s">
        <v>562</v>
      </c>
      <c r="K293" s="4"/>
      <c r="L293" s="4"/>
      <c r="M293" s="4"/>
      <c r="N293" s="4"/>
      <c r="O293" s="4"/>
      <c r="P293" s="4"/>
      <c r="Q293" s="4"/>
      <c r="R293" s="4"/>
      <c r="S293" s="4"/>
      <c r="T293" s="4"/>
      <c r="U293" s="4"/>
      <c r="V293" s="4"/>
      <c r="W293" s="4"/>
    </row>
    <row r="294" spans="2:23" ht="13">
      <c r="B294" s="2"/>
      <c r="D294" s="4"/>
      <c r="E294" s="4"/>
      <c r="F294" s="4" t="s">
        <v>445</v>
      </c>
      <c r="G294" s="4" t="s">
        <v>261</v>
      </c>
      <c r="H294" s="4"/>
      <c r="K294" s="4"/>
      <c r="L294" s="4"/>
      <c r="M294" s="4"/>
      <c r="N294" s="4"/>
      <c r="O294" s="4"/>
      <c r="P294" s="4"/>
      <c r="Q294" s="4"/>
      <c r="R294" s="4"/>
      <c r="S294" s="4"/>
      <c r="T294" s="4"/>
      <c r="U294" s="4"/>
      <c r="V294" s="4"/>
      <c r="W294" s="4"/>
    </row>
    <row r="295" spans="2:23" ht="13">
      <c r="B295" s="2"/>
      <c r="D295" s="4"/>
      <c r="E295" s="4"/>
      <c r="F295" s="4" t="s">
        <v>262</v>
      </c>
      <c r="G295" s="4" t="s">
        <v>390</v>
      </c>
      <c r="K295" s="4"/>
      <c r="L295" s="4"/>
      <c r="M295" s="4"/>
      <c r="N295" s="4"/>
      <c r="O295" s="4"/>
      <c r="P295" s="4"/>
      <c r="Q295" s="4"/>
      <c r="R295" s="4"/>
      <c r="S295" s="4"/>
      <c r="T295" s="4"/>
      <c r="U295" s="4"/>
      <c r="V295" s="4"/>
      <c r="W295" s="4"/>
    </row>
    <row r="296" spans="2:23" ht="13">
      <c r="B296" s="2"/>
      <c r="D296" s="4"/>
      <c r="E296" s="4"/>
      <c r="F296" s="4" t="s">
        <v>263</v>
      </c>
      <c r="G296" s="4" t="s">
        <v>170</v>
      </c>
      <c r="H296" s="4"/>
      <c r="K296" s="4"/>
      <c r="L296" s="4"/>
      <c r="M296" s="4"/>
      <c r="N296" s="4"/>
      <c r="O296" s="4"/>
      <c r="P296" s="4"/>
      <c r="Q296" s="4"/>
      <c r="R296" s="4"/>
      <c r="S296" s="4"/>
      <c r="T296" s="4"/>
      <c r="U296" s="4"/>
      <c r="V296" s="4"/>
      <c r="W296" s="4"/>
    </row>
    <row r="297" spans="2:23" ht="13">
      <c r="B297" s="2"/>
      <c r="D297" s="4"/>
      <c r="E297" s="4" t="s">
        <v>582</v>
      </c>
      <c r="F297" s="4" t="s">
        <v>743</v>
      </c>
      <c r="G297" s="4"/>
      <c r="K297" s="4"/>
      <c r="L297" s="4"/>
      <c r="M297" s="4"/>
      <c r="N297" s="4"/>
      <c r="O297" s="4"/>
      <c r="P297" s="4"/>
      <c r="Q297" s="4"/>
      <c r="R297" s="4"/>
      <c r="S297" s="4"/>
      <c r="T297" s="4"/>
      <c r="U297" s="4"/>
      <c r="V297" s="4"/>
      <c r="W297" s="4"/>
    </row>
    <row r="298" spans="2:23" ht="13">
      <c r="B298" s="2"/>
      <c r="D298" s="4"/>
      <c r="E298" s="4" t="s">
        <v>764</v>
      </c>
      <c r="F298" s="4" t="s">
        <v>750</v>
      </c>
      <c r="G298" s="4"/>
      <c r="K298" s="4"/>
      <c r="L298" s="4"/>
      <c r="M298" s="4"/>
      <c r="N298" s="4"/>
      <c r="O298" s="4"/>
      <c r="P298" s="4"/>
      <c r="Q298" s="4"/>
      <c r="R298" s="4"/>
      <c r="S298" s="4"/>
      <c r="T298" s="4"/>
      <c r="U298" s="4"/>
      <c r="V298" s="4"/>
      <c r="W298" s="4"/>
    </row>
    <row r="299" spans="2:23" ht="1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556</v>
      </c>
      <c r="E303" s="2" t="s">
        <v>289</v>
      </c>
      <c r="G303" s="4"/>
      <c r="H303" s="4"/>
      <c r="I303" s="4"/>
      <c r="J303" s="4"/>
      <c r="K303" s="4"/>
      <c r="L303" s="4"/>
      <c r="M303" s="4"/>
      <c r="N303" s="4"/>
      <c r="O303" s="4"/>
      <c r="P303" s="4"/>
      <c r="Q303" s="4"/>
      <c r="R303" s="4"/>
      <c r="S303" s="4"/>
      <c r="T303" s="4"/>
      <c r="U303" s="4"/>
      <c r="V303" s="4"/>
      <c r="W303" s="4"/>
    </row>
    <row r="304" spans="2:23" ht="13">
      <c r="B304" s="2"/>
      <c r="D304" s="2"/>
      <c r="E304" s="4" t="s">
        <v>949</v>
      </c>
      <c r="F304" s="4"/>
      <c r="K304" s="4"/>
      <c r="L304" s="4"/>
      <c r="M304" s="4"/>
      <c r="N304" s="4"/>
      <c r="O304" s="4"/>
      <c r="P304" s="4"/>
      <c r="Q304" s="4"/>
      <c r="R304" s="4"/>
      <c r="S304" s="4"/>
      <c r="T304" s="4"/>
      <c r="U304" s="4"/>
      <c r="V304" s="4"/>
      <c r="W304" s="4"/>
    </row>
    <row r="305" spans="2:23" ht="13">
      <c r="B305" s="2"/>
      <c r="D305" s="2"/>
      <c r="E305" s="4" t="s">
        <v>947</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615</v>
      </c>
      <c r="I307" s="4"/>
      <c r="J307" s="4"/>
      <c r="K307" s="4"/>
      <c r="L307" s="4"/>
      <c r="M307" s="4"/>
      <c r="N307" s="4"/>
      <c r="O307" s="4"/>
      <c r="P307" s="4"/>
    </row>
    <row r="308" spans="2:23" ht="13">
      <c r="B308" s="2"/>
      <c r="D308" s="2" t="s">
        <v>207</v>
      </c>
      <c r="E308" s="2" t="s">
        <v>264</v>
      </c>
      <c r="G308" s="2"/>
      <c r="H308" s="2"/>
      <c r="I308" s="2"/>
      <c r="J308" s="2"/>
      <c r="K308" s="2"/>
      <c r="L308" s="2"/>
      <c r="M308" s="2"/>
      <c r="N308" s="2"/>
      <c r="O308" s="2"/>
      <c r="P308" s="2"/>
      <c r="Q308" s="2"/>
      <c r="R308" s="2"/>
    </row>
    <row r="309" spans="2:23" ht="13">
      <c r="B309" s="2"/>
      <c r="D309" s="2"/>
      <c r="E309" t="s">
        <v>265</v>
      </c>
      <c r="G309" s="4"/>
      <c r="I309" s="4"/>
      <c r="K309" s="4"/>
    </row>
    <row r="310" spans="2:23" ht="13">
      <c r="B310" s="2"/>
      <c r="D310" s="2"/>
      <c r="E310" s="4" t="s">
        <v>800</v>
      </c>
      <c r="F310" s="4"/>
      <c r="G310" s="4"/>
      <c r="I310" s="4"/>
      <c r="K310" s="4"/>
    </row>
    <row r="311" spans="2:23" ht="13">
      <c r="B311" s="2"/>
      <c r="D311" s="2"/>
      <c r="E311" s="4" t="s">
        <v>950</v>
      </c>
      <c r="F311" s="4"/>
      <c r="G311" s="4"/>
      <c r="I311" s="4"/>
      <c r="K311" s="4"/>
    </row>
    <row r="312" spans="2:23" ht="13">
      <c r="B312" s="2"/>
      <c r="D312" s="2"/>
      <c r="E312" s="4" t="s">
        <v>801</v>
      </c>
      <c r="F312" s="4"/>
      <c r="G312" s="4"/>
      <c r="I312" s="4"/>
      <c r="K312" s="4"/>
    </row>
    <row r="313" spans="2:23" ht="13">
      <c r="B313" s="2"/>
      <c r="D313" s="2"/>
      <c r="G313" s="4"/>
      <c r="I313" s="4"/>
      <c r="K313" s="4"/>
    </row>
    <row r="314" spans="2:23" ht="13">
      <c r="B314" s="2"/>
      <c r="D314" s="2" t="s">
        <v>341</v>
      </c>
      <c r="E314" s="2" t="s">
        <v>752</v>
      </c>
      <c r="G314" s="4"/>
      <c r="H314" s="4"/>
      <c r="I314" s="4"/>
      <c r="J314" s="4"/>
      <c r="K314" s="4"/>
      <c r="P314" s="4"/>
      <c r="Q314" s="4"/>
      <c r="R314" s="4"/>
      <c r="S314" s="4"/>
    </row>
    <row r="315" spans="2:23" ht="13">
      <c r="B315" s="2"/>
      <c r="D315" s="2"/>
      <c r="E315" t="s">
        <v>266</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575</v>
      </c>
      <c r="E317" s="170" t="s">
        <v>736</v>
      </c>
      <c r="F317" s="3"/>
      <c r="G317" s="4"/>
      <c r="H317" s="4"/>
      <c r="I317" s="4"/>
      <c r="J317" s="4"/>
      <c r="K317" s="4"/>
      <c r="L317" s="4"/>
      <c r="M317" s="4"/>
      <c r="N317" s="4"/>
      <c r="O317" s="4"/>
      <c r="P317" s="4"/>
      <c r="Q317" s="4"/>
      <c r="R317" s="4"/>
      <c r="S317" s="4"/>
    </row>
    <row r="318" spans="2:23" ht="13">
      <c r="B318" s="2"/>
      <c r="E318" t="s">
        <v>733</v>
      </c>
      <c r="I318" s="4"/>
      <c r="J318" s="4"/>
      <c r="K318" s="4"/>
      <c r="L318" s="4"/>
      <c r="M318" s="4"/>
      <c r="N318" s="4"/>
      <c r="O318" s="4"/>
      <c r="P318" s="4"/>
      <c r="Q318" s="4"/>
      <c r="R318" s="4"/>
      <c r="S318" s="4"/>
    </row>
    <row r="319" spans="2:23" ht="13">
      <c r="B319" s="2"/>
      <c r="E319" t="s">
        <v>734</v>
      </c>
      <c r="I319" s="4"/>
      <c r="J319" s="4"/>
      <c r="K319" s="4"/>
      <c r="L319" s="4"/>
      <c r="M319" s="4"/>
      <c r="N319" s="4"/>
      <c r="O319" s="4"/>
      <c r="P319" s="4"/>
      <c r="Q319" s="4"/>
      <c r="R319" s="4"/>
      <c r="S319" s="4"/>
    </row>
    <row r="320" spans="2:23" ht="13">
      <c r="B320" s="2"/>
      <c r="E320" t="s">
        <v>735</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616</v>
      </c>
      <c r="I322" s="4"/>
      <c r="J322" s="4"/>
      <c r="K322" s="4"/>
      <c r="L322" s="4"/>
      <c r="M322" s="4"/>
      <c r="N322" s="4"/>
      <c r="O322" s="4"/>
      <c r="P322" s="4"/>
      <c r="Q322" s="4"/>
      <c r="R322" s="4"/>
      <c r="S322" s="4"/>
    </row>
    <row r="323" spans="1:38" ht="13">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ht="13">
      <c r="F326" s="120" t="s">
        <v>1152</v>
      </c>
      <c r="I326" s="120"/>
      <c r="J326" s="4"/>
      <c r="K326" s="4"/>
      <c r="L326" s="4"/>
      <c r="M326" s="4"/>
      <c r="N326" s="4"/>
      <c r="O326" s="4"/>
      <c r="P326" s="4"/>
      <c r="Q326" s="4"/>
      <c r="R326" s="4"/>
      <c r="S326" s="4"/>
    </row>
    <row r="327" spans="1:38" ht="13">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430</v>
      </c>
      <c r="G331" s="2" t="s">
        <v>22</v>
      </c>
      <c r="I331" s="2"/>
      <c r="J331" s="4"/>
      <c r="K331" s="4"/>
      <c r="L331" s="4"/>
      <c r="M331" s="4"/>
      <c r="N331" s="4"/>
      <c r="O331" s="4"/>
      <c r="P331" s="4"/>
      <c r="Q331" s="4"/>
      <c r="R331" s="4"/>
      <c r="S331" s="4"/>
    </row>
    <row r="332" spans="1:38" ht="13">
      <c r="B332" s="2"/>
      <c r="C332" s="2"/>
      <c r="D332" s="2" t="s">
        <v>207</v>
      </c>
      <c r="E332" s="2" t="s">
        <v>22</v>
      </c>
      <c r="G332" s="2"/>
      <c r="I332" s="2"/>
      <c r="J332" s="4"/>
      <c r="K332" s="4"/>
      <c r="L332" s="4"/>
      <c r="M332" s="4"/>
      <c r="N332" s="4"/>
      <c r="O332" s="4"/>
      <c r="P332" s="4"/>
      <c r="Q332" s="4"/>
      <c r="R332" s="4"/>
      <c r="S332" s="4"/>
    </row>
    <row r="333" spans="1:38" ht="13">
      <c r="B333" s="2"/>
      <c r="E333" t="s">
        <v>112</v>
      </c>
      <c r="F333" t="s">
        <v>740</v>
      </c>
      <c r="J333" s="4"/>
      <c r="K333" s="4"/>
      <c r="L333" s="4"/>
      <c r="M333" s="4"/>
      <c r="N333" s="4"/>
      <c r="O333" s="4"/>
      <c r="P333" s="4"/>
      <c r="Q333" s="4"/>
      <c r="R333" s="4"/>
      <c r="S333" s="4"/>
    </row>
    <row r="334" spans="1:38" ht="13">
      <c r="B334" s="2"/>
      <c r="E334" s="4"/>
      <c r="F334" s="4" t="s">
        <v>741</v>
      </c>
      <c r="J334" s="4"/>
      <c r="K334" s="4"/>
      <c r="L334" s="4"/>
      <c r="M334" s="4"/>
      <c r="N334" s="4"/>
      <c r="O334" s="4"/>
      <c r="P334" s="4"/>
      <c r="Q334" s="4"/>
      <c r="R334" s="4"/>
      <c r="S334" s="4"/>
    </row>
    <row r="335" spans="1:38" ht="13">
      <c r="B335" s="2"/>
      <c r="E335" s="4"/>
      <c r="F335" s="4" t="s">
        <v>742</v>
      </c>
      <c r="I335" s="4"/>
      <c r="J335" s="4"/>
      <c r="K335" s="4"/>
      <c r="L335" s="4"/>
      <c r="M335" s="4"/>
      <c r="N335" s="4"/>
      <c r="O335" s="4"/>
      <c r="P335" s="4"/>
      <c r="Q335" s="4"/>
      <c r="R335" s="4"/>
      <c r="S335" s="4"/>
    </row>
    <row r="336" spans="1:38" ht="13">
      <c r="B336" s="2"/>
      <c r="E336" s="4" t="s">
        <v>113</v>
      </c>
      <c r="F336" s="1263" t="s">
        <v>1156</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ht="13">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ht="13">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ht="13">
      <c r="B339" s="2"/>
      <c r="F339" s="4"/>
      <c r="H339" s="4"/>
      <c r="I339" s="4"/>
      <c r="J339" s="4"/>
      <c r="K339" s="4"/>
      <c r="L339" s="4"/>
      <c r="M339" s="4"/>
      <c r="N339" s="4"/>
      <c r="O339" s="4"/>
      <c r="P339" s="4"/>
      <c r="Q339" s="4"/>
      <c r="R339" s="4"/>
      <c r="S339" s="4"/>
    </row>
    <row r="340" spans="2:37" ht="13">
      <c r="B340" s="2"/>
      <c r="C340" s="2" t="s">
        <v>431</v>
      </c>
      <c r="G340" s="2" t="s">
        <v>1229</v>
      </c>
      <c r="I340" s="2"/>
      <c r="J340" s="4"/>
      <c r="K340" s="4"/>
      <c r="L340" s="4"/>
      <c r="M340" s="4"/>
      <c r="N340" s="4"/>
      <c r="O340" s="4"/>
      <c r="P340" s="4"/>
      <c r="Q340" s="4"/>
      <c r="R340" s="4"/>
      <c r="S340" s="4"/>
    </row>
    <row r="341" spans="2:37" ht="13.15" customHeight="1">
      <c r="B341" s="2"/>
      <c r="E341" s="1268" t="s">
        <v>1236</v>
      </c>
      <c r="F341" s="1268"/>
      <c r="G341" s="1268"/>
      <c r="H341" s="1268"/>
      <c r="I341" s="1268"/>
      <c r="J341" s="1268"/>
      <c r="K341" s="1268"/>
      <c r="L341" s="1268"/>
      <c r="M341" s="1268"/>
      <c r="N341" s="1268"/>
      <c r="O341" s="1268"/>
      <c r="P341" s="1268"/>
      <c r="Q341" s="1268"/>
      <c r="R341" s="1268"/>
      <c r="S341" s="1268"/>
      <c r="T341" s="1268"/>
      <c r="U341" s="1268"/>
      <c r="V341" s="1268"/>
      <c r="W341" s="1268"/>
      <c r="X341" s="1268"/>
      <c r="Y341" s="1268"/>
      <c r="Z341" s="1268"/>
      <c r="AA341" s="1268"/>
      <c r="AB341" s="1268"/>
      <c r="AC341" s="1268"/>
      <c r="AD341" s="1268"/>
      <c r="AE341" s="1268"/>
      <c r="AF341" s="1268"/>
      <c r="AG341" s="1268"/>
      <c r="AH341" s="1268"/>
      <c r="AI341" s="1268"/>
      <c r="AJ341" s="1268"/>
      <c r="AK341" s="1268"/>
    </row>
    <row r="342" spans="2:37" ht="13">
      <c r="B342" s="2"/>
      <c r="E342" s="1268"/>
      <c r="F342" s="1268"/>
      <c r="G342" s="1268"/>
      <c r="H342" s="1268"/>
      <c r="I342" s="1268"/>
      <c r="J342" s="1268"/>
      <c r="K342" s="1268"/>
      <c r="L342" s="1268"/>
      <c r="M342" s="1268"/>
      <c r="N342" s="1268"/>
      <c r="O342" s="1268"/>
      <c r="P342" s="1268"/>
      <c r="Q342" s="1268"/>
      <c r="R342" s="1268"/>
      <c r="S342" s="1268"/>
      <c r="T342" s="1268"/>
      <c r="U342" s="1268"/>
      <c r="V342" s="1268"/>
      <c r="W342" s="1268"/>
      <c r="X342" s="1268"/>
      <c r="Y342" s="1268"/>
      <c r="Z342" s="1268"/>
      <c r="AA342" s="1268"/>
      <c r="AB342" s="1268"/>
      <c r="AC342" s="1268"/>
      <c r="AD342" s="1268"/>
      <c r="AE342" s="1268"/>
      <c r="AF342" s="1268"/>
      <c r="AG342" s="1268"/>
      <c r="AH342" s="1268"/>
      <c r="AI342" s="1268"/>
      <c r="AJ342" s="1268"/>
      <c r="AK342" s="1268"/>
    </row>
    <row r="343" spans="2:37" ht="13">
      <c r="B343" s="2"/>
      <c r="E343" s="1268"/>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3" t="s">
        <v>112</v>
      </c>
      <c r="F346" s="1263" t="s">
        <v>1238</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ht="13">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ht="13">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ht="13">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ht="13">
      <c r="B350" s="2"/>
      <c r="E350" s="3" t="s">
        <v>113</v>
      </c>
      <c r="F350" s="1263" t="s">
        <v>1237</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ht="13">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ht="13">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ht="13">
      <c r="B353" s="2"/>
      <c r="F353" s="4"/>
      <c r="H353" s="4"/>
      <c r="I353" s="4"/>
      <c r="J353" s="4"/>
      <c r="K353" s="4"/>
      <c r="L353" s="4"/>
      <c r="M353" s="4"/>
      <c r="N353" s="4"/>
      <c r="O353" s="4"/>
      <c r="P353" s="4"/>
      <c r="Q353" s="4"/>
      <c r="R353" s="4"/>
      <c r="S353" s="4"/>
    </row>
    <row r="354" spans="1:38" ht="13">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207</v>
      </c>
      <c r="E358" s="2" t="s">
        <v>122</v>
      </c>
      <c r="I358" s="4"/>
      <c r="J358" s="4"/>
      <c r="K358" s="4"/>
      <c r="L358" s="4"/>
      <c r="M358" s="4"/>
      <c r="N358" s="4"/>
      <c r="O358" s="4"/>
      <c r="P358" s="4"/>
      <c r="Q358" s="4"/>
      <c r="R358" s="4"/>
      <c r="S358" s="4"/>
    </row>
    <row r="359" spans="1:38" ht="13">
      <c r="B359" s="2"/>
      <c r="E359" t="s">
        <v>112</v>
      </c>
      <c r="F359" s="4" t="s">
        <v>744</v>
      </c>
      <c r="I359" s="4"/>
      <c r="J359" s="4"/>
      <c r="K359" s="4"/>
      <c r="L359" s="4"/>
      <c r="M359" s="4"/>
      <c r="N359" s="4"/>
      <c r="O359" s="4"/>
      <c r="P359" s="4"/>
      <c r="Q359" s="4"/>
      <c r="R359" s="4"/>
      <c r="S359" s="4"/>
    </row>
    <row r="360" spans="1:38" ht="13">
      <c r="B360" s="2"/>
      <c r="F360" s="4" t="s">
        <v>745</v>
      </c>
      <c r="I360" s="4"/>
      <c r="J360" s="4"/>
      <c r="K360" s="4"/>
      <c r="L360" s="4"/>
      <c r="M360" s="4"/>
      <c r="N360" s="4"/>
      <c r="O360" s="4"/>
      <c r="P360" s="4"/>
      <c r="Q360" s="4"/>
      <c r="R360" s="4"/>
      <c r="S360" s="4"/>
    </row>
    <row r="361" spans="1:38" ht="13">
      <c r="B361" s="2"/>
      <c r="F361" s="4" t="s">
        <v>873</v>
      </c>
      <c r="G361" s="4"/>
      <c r="K361" s="4"/>
      <c r="L361" s="4"/>
      <c r="M361" s="4"/>
      <c r="N361" s="4"/>
      <c r="O361" s="4"/>
      <c r="P361" s="4"/>
      <c r="Q361" s="4"/>
      <c r="R361" s="4"/>
      <c r="S361" s="4"/>
    </row>
    <row r="362" spans="1:38" ht="13">
      <c r="B362" s="2"/>
      <c r="E362" t="s">
        <v>113</v>
      </c>
      <c r="F362" s="4" t="s">
        <v>872</v>
      </c>
      <c r="I362" s="4"/>
      <c r="J362" s="4"/>
      <c r="K362" s="4"/>
      <c r="L362" s="4"/>
      <c r="M362" s="4"/>
      <c r="N362" s="4"/>
      <c r="O362" s="4"/>
      <c r="P362" s="4"/>
      <c r="Q362" s="4"/>
      <c r="R362" s="4"/>
      <c r="S362" s="4"/>
    </row>
    <row r="363" spans="1:38" ht="13">
      <c r="B363" s="2"/>
      <c r="E363" t="s">
        <v>119</v>
      </c>
      <c r="F363" s="4" t="s">
        <v>746</v>
      </c>
      <c r="I363" s="4"/>
      <c r="J363" s="4"/>
      <c r="K363" s="4"/>
      <c r="L363" s="4"/>
      <c r="M363" s="4"/>
      <c r="N363" s="4"/>
      <c r="O363" s="4"/>
      <c r="P363" s="4"/>
      <c r="Q363" s="4"/>
      <c r="R363" s="4"/>
      <c r="S363" s="4"/>
    </row>
    <row r="364" spans="1:38" ht="13">
      <c r="B364" s="2"/>
      <c r="F364" s="4" t="s">
        <v>747</v>
      </c>
      <c r="J364" s="4"/>
      <c r="K364" s="4"/>
      <c r="L364" s="4"/>
      <c r="M364" s="4"/>
      <c r="N364" s="4"/>
      <c r="O364" s="4"/>
      <c r="P364" s="4"/>
      <c r="Q364" s="4"/>
      <c r="R364" s="4"/>
      <c r="S364" s="4"/>
    </row>
    <row r="365" spans="1:38" ht="13">
      <c r="B365" s="2"/>
      <c r="E365" s="1271" t="s">
        <v>1227</v>
      </c>
      <c r="F365" s="1271"/>
      <c r="G365" s="1271"/>
      <c r="H365" s="1271"/>
      <c r="I365" s="1271"/>
      <c r="J365" s="1271"/>
      <c r="K365" s="1271"/>
      <c r="L365" s="1271"/>
      <c r="M365" s="1271"/>
      <c r="N365" s="1271"/>
      <c r="O365" s="1271"/>
      <c r="P365" s="1271"/>
      <c r="Q365" s="1271"/>
      <c r="R365" s="1271"/>
      <c r="S365" s="1271"/>
      <c r="T365" s="1271"/>
      <c r="U365" s="1271"/>
      <c r="V365" s="1271"/>
      <c r="W365" s="1271"/>
      <c r="X365" s="1271"/>
      <c r="Y365" s="1271"/>
      <c r="Z365" s="1271"/>
      <c r="AA365" s="1271"/>
      <c r="AB365" s="1271"/>
      <c r="AC365" s="1271"/>
      <c r="AD365" s="1271"/>
      <c r="AE365" s="1271"/>
      <c r="AF365" s="1271"/>
      <c r="AG365" s="1271"/>
      <c r="AH365" s="1271"/>
      <c r="AI365" s="1271"/>
      <c r="AJ365" s="1271"/>
      <c r="AK365" s="1271"/>
      <c r="AL365" s="1271"/>
    </row>
    <row r="366" spans="1:38" ht="13">
      <c r="B366" s="2"/>
      <c r="E366" s="1271"/>
      <c r="F366" s="1271"/>
      <c r="G366" s="1271"/>
      <c r="H366" s="1271"/>
      <c r="I366" s="1271"/>
      <c r="J366" s="1271"/>
      <c r="K366" s="1271"/>
      <c r="L366" s="1271"/>
      <c r="M366" s="1271"/>
      <c r="N366" s="1271"/>
      <c r="O366" s="1271"/>
      <c r="P366" s="1271"/>
      <c r="Q366" s="1271"/>
      <c r="R366" s="1271"/>
      <c r="S366" s="1271"/>
      <c r="T366" s="1271"/>
      <c r="U366" s="1271"/>
      <c r="V366" s="1271"/>
      <c r="W366" s="1271"/>
      <c r="X366" s="1271"/>
      <c r="Y366" s="1271"/>
      <c r="Z366" s="1271"/>
      <c r="AA366" s="1271"/>
      <c r="AB366" s="1271"/>
      <c r="AC366" s="1271"/>
      <c r="AD366" s="1271"/>
      <c r="AE366" s="1271"/>
      <c r="AF366" s="1271"/>
      <c r="AG366" s="1271"/>
      <c r="AH366" s="1271"/>
      <c r="AI366" s="1271"/>
      <c r="AJ366" s="1271"/>
      <c r="AK366" s="1271"/>
      <c r="AL366" s="1271"/>
    </row>
    <row r="367" spans="1:38" s="1272" customFormat="1" ht="13">
      <c r="A367"/>
      <c r="B367" s="2"/>
      <c r="C367"/>
      <c r="D367"/>
      <c r="E367" s="1269" t="s">
        <v>1259</v>
      </c>
    </row>
    <row r="368" spans="1:38" s="1272"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341</v>
      </c>
      <c r="E370" s="2" t="s">
        <v>569</v>
      </c>
      <c r="J370" s="4"/>
      <c r="K370" s="4"/>
      <c r="L370" s="4"/>
      <c r="M370" s="4"/>
      <c r="N370" s="4"/>
      <c r="O370" s="4"/>
      <c r="P370" s="4"/>
      <c r="Q370" s="4"/>
      <c r="R370" s="4"/>
      <c r="S370" s="4"/>
    </row>
    <row r="371" spans="1:38" ht="13">
      <c r="B371" s="2"/>
      <c r="E371" s="4" t="s">
        <v>748</v>
      </c>
      <c r="F371" s="4"/>
      <c r="G371" s="4"/>
      <c r="H371" s="4"/>
      <c r="I371" s="4"/>
      <c r="J371" s="4"/>
      <c r="K371" s="4"/>
      <c r="L371" s="4"/>
      <c r="M371" s="4"/>
      <c r="N371" s="4"/>
      <c r="O371" s="4"/>
      <c r="P371" s="4"/>
      <c r="Q371" s="4"/>
      <c r="R371" s="4"/>
      <c r="S371" s="4"/>
    </row>
    <row r="372" spans="1:38" ht="13">
      <c r="B372" s="2"/>
      <c r="E372" s="4" t="s">
        <v>749</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575</v>
      </c>
      <c r="E374" s="2" t="s">
        <v>282</v>
      </c>
      <c r="J374" s="4"/>
      <c r="K374" s="4"/>
      <c r="L374" s="4"/>
      <c r="M374" s="4"/>
      <c r="N374" s="4"/>
      <c r="O374" s="4"/>
      <c r="P374" s="4"/>
      <c r="Q374" s="4"/>
      <c r="R374" s="4"/>
      <c r="S374" s="4"/>
    </row>
    <row r="375" spans="1:38" ht="13">
      <c r="B375" s="2"/>
      <c r="E375" s="4" t="s">
        <v>112</v>
      </c>
      <c r="F375" s="4" t="s">
        <v>251</v>
      </c>
      <c r="G375" s="4"/>
      <c r="I375" s="4"/>
      <c r="J375" s="4"/>
      <c r="K375" s="4"/>
      <c r="L375" s="4"/>
      <c r="M375" s="4"/>
      <c r="N375" s="4"/>
      <c r="O375" s="4"/>
      <c r="P375" s="4"/>
      <c r="Q375" s="4"/>
      <c r="R375" s="4"/>
      <c r="S375" s="4"/>
    </row>
    <row r="376" spans="1:38" ht="13">
      <c r="B376" s="2"/>
      <c r="E376" s="4"/>
      <c r="F376" s="120" t="s">
        <v>1154</v>
      </c>
      <c r="G376" s="4"/>
      <c r="I376" s="120"/>
      <c r="J376" s="4"/>
      <c r="K376" s="4"/>
      <c r="L376" s="4"/>
      <c r="M376" s="4"/>
      <c r="N376" s="4"/>
      <c r="O376" s="4"/>
      <c r="P376" s="4"/>
      <c r="Q376" s="4"/>
      <c r="R376" s="4"/>
      <c r="S376" s="4"/>
    </row>
    <row r="377" spans="1:38" ht="13">
      <c r="B377" s="2"/>
      <c r="E377" s="4" t="s">
        <v>113</v>
      </c>
      <c r="F377" s="4" t="s">
        <v>252</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515</v>
      </c>
      <c r="E379" s="2" t="s">
        <v>1260</v>
      </c>
      <c r="J379" s="3"/>
      <c r="K379" s="3"/>
      <c r="L379" s="3"/>
      <c r="M379" s="3"/>
      <c r="N379" s="3"/>
      <c r="O379" s="3"/>
      <c r="P379" s="3"/>
      <c r="Q379" s="3"/>
      <c r="R379" s="3"/>
      <c r="S379" s="3"/>
    </row>
    <row r="380" spans="1:38" ht="13">
      <c r="B380" s="2"/>
      <c r="D380" s="2"/>
      <c r="E380" s="3" t="s">
        <v>748</v>
      </c>
      <c r="F380" s="3"/>
      <c r="G380" s="3"/>
      <c r="J380" s="3"/>
      <c r="K380" s="3"/>
      <c r="L380" s="3"/>
      <c r="M380" s="3"/>
      <c r="N380" s="3"/>
      <c r="O380" s="3"/>
      <c r="P380" s="3"/>
      <c r="Q380" s="3"/>
      <c r="R380" s="3"/>
      <c r="S380" s="3"/>
    </row>
    <row r="381" spans="1:38" ht="13">
      <c r="B381" s="2"/>
      <c r="D381" s="2"/>
      <c r="E381" s="3" t="s">
        <v>1157</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3" t="s">
        <v>1270</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ht="13">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ht="13">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85" zoomScaleNormal="85" workbookViewId="0">
      <selection activeCell="L100" sqref="L100"/>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72" t="s">
        <v>1586</v>
      </c>
      <c r="B1" s="2672"/>
      <c r="C1" s="2672"/>
      <c r="D1" s="2672"/>
      <c r="E1" s="2672"/>
      <c r="F1" s="2672"/>
      <c r="G1" s="2672"/>
      <c r="H1" s="2672"/>
      <c r="I1" s="2672"/>
      <c r="J1" s="2672"/>
    </row>
    <row r="2" spans="1:13" ht="15" customHeight="1" thickBot="1">
      <c r="A2" s="1046"/>
      <c r="B2" s="1046"/>
      <c r="I2" s="1047"/>
      <c r="K2" s="1048"/>
    </row>
    <row r="3" spans="1:13" s="1051" customFormat="1" ht="20.149999999999999" customHeight="1">
      <c r="A3" s="1100"/>
      <c r="B3" s="1101"/>
      <c r="C3" s="1102"/>
      <c r="D3" s="1107"/>
      <c r="E3" s="1102"/>
      <c r="F3" s="1103" t="s">
        <v>1991</v>
      </c>
      <c r="G3" s="1102"/>
      <c r="H3" s="1104">
        <f>E18</f>
        <v>29989494</v>
      </c>
      <c r="I3" s="1105"/>
    </row>
    <row r="4" spans="1:13" s="1051" customFormat="1" ht="20.149999999999999" customHeight="1">
      <c r="B4" s="1094"/>
      <c r="D4" s="1108"/>
      <c r="F4" s="1092" t="s">
        <v>1993</v>
      </c>
      <c r="G4" s="1091" t="s">
        <v>1992</v>
      </c>
      <c r="H4" s="1093">
        <f>I18</f>
        <v>24204166.666666668</v>
      </c>
      <c r="I4" s="1095"/>
      <c r="K4" s="1055"/>
    </row>
    <row r="5" spans="1:13" s="1051" customFormat="1" ht="20.149999999999999" customHeight="1" thickBot="1">
      <c r="B5" s="1096"/>
      <c r="C5" s="1097"/>
      <c r="D5" s="1109"/>
      <c r="E5" s="1098"/>
      <c r="F5" s="1109" t="s">
        <v>1943</v>
      </c>
      <c r="G5" s="1110"/>
      <c r="H5" s="1106">
        <f>IFERROR(H3/H4,0)</f>
        <v>1.2390219590290927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5" t="s">
        <v>1941</v>
      </c>
      <c r="C8" s="2676"/>
      <c r="D8" s="2676"/>
      <c r="E8" s="2677"/>
      <c r="G8" s="2652" t="s">
        <v>1942</v>
      </c>
      <c r="H8" s="2653"/>
      <c r="I8" s="2654"/>
      <c r="K8" s="1057"/>
    </row>
    <row r="9" spans="1:13" ht="15" customHeight="1">
      <c r="A9" s="1046"/>
      <c r="B9" s="2673" t="s">
        <v>1975</v>
      </c>
      <c r="C9" s="2673"/>
      <c r="D9" s="2673"/>
      <c r="E9" s="1059">
        <f>G33</f>
        <v>5312500</v>
      </c>
      <c r="G9" s="2665" t="s">
        <v>1973</v>
      </c>
      <c r="H9" s="2665"/>
      <c r="I9" s="1060">
        <f>SUMIF(Application!M554:M565,"Loan, Tax-Exempt",Application!AM554:AM565)</f>
        <v>25500000</v>
      </c>
      <c r="K9" s="1061"/>
      <c r="M9" s="1062"/>
    </row>
    <row r="10" spans="1:13" ht="15" customHeight="1" thickBot="1">
      <c r="A10" s="1046"/>
      <c r="B10" s="2673" t="s">
        <v>1976</v>
      </c>
      <c r="C10" s="2673"/>
      <c r="D10" s="2673"/>
      <c r="E10" s="1060">
        <f>G47</f>
        <v>14363244</v>
      </c>
      <c r="G10" s="2679" t="s">
        <v>1944</v>
      </c>
      <c r="H10" s="2679"/>
      <c r="I10" s="1140">
        <f>'Basis &amp; Credits'!AB78</f>
        <v>0</v>
      </c>
      <c r="M10" s="1062"/>
    </row>
    <row r="11" spans="1:13" ht="15" customHeight="1">
      <c r="A11" s="1046"/>
      <c r="B11" s="2666" t="s">
        <v>2265</v>
      </c>
      <c r="C11" s="2667"/>
      <c r="D11" s="2668"/>
      <c r="E11" s="1060">
        <f>SUM(E12,E13)</f>
        <v>220000</v>
      </c>
      <c r="G11" s="2664" t="s">
        <v>1984</v>
      </c>
      <c r="H11" s="2664"/>
      <c r="I11" s="1139">
        <f>I9+I10</f>
        <v>25500000</v>
      </c>
      <c r="M11" s="1062"/>
    </row>
    <row r="12" spans="1:13" ht="15" customHeight="1">
      <c r="A12" s="1063"/>
      <c r="B12" s="2674" t="s">
        <v>2267</v>
      </c>
      <c r="C12" s="2674"/>
      <c r="D12" s="2674"/>
      <c r="E12" s="1165">
        <f>G56</f>
        <v>0</v>
      </c>
      <c r="M12" s="1062"/>
    </row>
    <row r="13" spans="1:13" ht="15" customHeight="1">
      <c r="A13" s="1049"/>
      <c r="B13" s="2674" t="s">
        <v>2268</v>
      </c>
      <c r="C13" s="2674"/>
      <c r="D13" s="2674"/>
      <c r="E13" s="1165">
        <f>G65</f>
        <v>220000</v>
      </c>
      <c r="G13" s="2652" t="s">
        <v>2007</v>
      </c>
      <c r="H13" s="2653"/>
      <c r="I13" s="2654"/>
      <c r="M13" s="1062"/>
    </row>
    <row r="14" spans="1:13" ht="15" customHeight="1">
      <c r="A14" s="1049"/>
      <c r="B14" s="2666" t="s">
        <v>2266</v>
      </c>
      <c r="C14" s="2667"/>
      <c r="D14" s="2668"/>
      <c r="E14" s="1167">
        <f>MAX(E15,E16)+E17</f>
        <v>10093750</v>
      </c>
      <c r="G14" s="2665" t="s">
        <v>139</v>
      </c>
      <c r="H14" s="2665"/>
      <c r="I14" s="1064">
        <f>15%*(AND(G120="Yes",G122&lt;&gt;""))</f>
        <v>0</v>
      </c>
      <c r="M14" s="1062"/>
    </row>
    <row r="15" spans="1:13" ht="15" customHeight="1">
      <c r="A15" s="1049"/>
      <c r="B15" s="2649" t="s">
        <v>2272</v>
      </c>
      <c r="C15" s="2650"/>
      <c r="D15" s="2651"/>
      <c r="E15" s="1165">
        <f>G80</f>
        <v>3187500</v>
      </c>
      <c r="G15" s="1137" t="s">
        <v>1985</v>
      </c>
      <c r="H15" s="1137"/>
      <c r="I15" s="1064">
        <f>IF(Application!AJ1032&gt;0,10%,IF(Application!AJ1036&gt;0,5%,0))</f>
        <v>0.05</v>
      </c>
      <c r="M15" s="1062"/>
    </row>
    <row r="16" spans="1:13" ht="15" customHeight="1">
      <c r="A16" s="1049"/>
      <c r="B16" s="2649" t="s">
        <v>2271</v>
      </c>
      <c r="C16" s="2650"/>
      <c r="D16" s="2651"/>
      <c r="E16" s="1165">
        <f>G90</f>
        <v>0</v>
      </c>
      <c r="G16" s="2665" t="s">
        <v>1986</v>
      </c>
      <c r="H16" s="2665"/>
      <c r="I16" s="1064">
        <f>G132</f>
        <v>8.1699346405228761E-4</v>
      </c>
    </row>
    <row r="17" spans="1:21" ht="15" customHeight="1" thickBot="1">
      <c r="A17" s="1049"/>
      <c r="B17" s="2649" t="s">
        <v>2270</v>
      </c>
      <c r="C17" s="2650"/>
      <c r="D17" s="2651"/>
      <c r="E17" s="1165">
        <f>G115</f>
        <v>6906250</v>
      </c>
      <c r="G17" s="2665" t="s">
        <v>2280</v>
      </c>
      <c r="H17" s="2665"/>
      <c r="I17" s="1064">
        <f>IF(AND(G139="Yes",OR(G136,G137)),IF(G143&gt;15%,15%,G143),0)</f>
        <v>0</v>
      </c>
    </row>
    <row r="18" spans="1:21" ht="15" customHeight="1">
      <c r="A18" s="1046"/>
      <c r="B18" s="2678" t="s">
        <v>1940</v>
      </c>
      <c r="C18" s="2678"/>
      <c r="D18" s="2678"/>
      <c r="E18" s="1111">
        <f>SUM(E9:E11,E14)</f>
        <v>29989494</v>
      </c>
      <c r="G18" s="1138" t="s">
        <v>1974</v>
      </c>
      <c r="H18" s="1138"/>
      <c r="I18" s="1112">
        <f>I11-((I11*I14)+(I11*I15)+(I11*I16)+(I11*I17))</f>
        <v>24204166.666666668</v>
      </c>
      <c r="M18" s="1065">
        <f>SUM(Cdlac[Quantity])</f>
        <v>89</v>
      </c>
      <c r="O18" s="1084" t="s">
        <v>583</v>
      </c>
      <c r="P18" s="1044">
        <f>MATCH(Application!T189,Application!CB160:CB217,0)</f>
        <v>37</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5</v>
      </c>
      <c r="N20" s="1071">
        <f>Application!AC718</f>
        <v>0.3</v>
      </c>
      <c r="O20" s="1071">
        <f>IF(Cdlac[[#This Row],[Quantity]]&gt;0,IF(Cdlac[[#This Row],[Federal]],30%,IF(AND(OR(NOT($G$38),$G$38=""),$G$43),40%,Cdlac[[#This Row],[iAMI]])),"")</f>
        <v>0.3</v>
      </c>
      <c r="P20" s="1065" cm="1">
        <f t="array" ref="P20">IF(Cdlac[[#This Row],[Quantity]]&gt;0,INDEX(TcacRents,$P$18,Cdlac[[#This Row],[Bedrooms]]+1)*Cdlac[[#This Row],[AMI]],"")</f>
        <v>930</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1398</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4</v>
      </c>
      <c r="N21" s="1071">
        <f>Application!AC719</f>
        <v>0.5</v>
      </c>
      <c r="O21" s="1071">
        <f>IF(Cdlac[[#This Row],[Quantity]]&gt;0,IF(Cdlac[[#This Row],[Federal]],30%,IF(AND(OR(NOT($G$38),$G$38=""),$G$43),40%,Cdlac[[#This Row],[iAMI]])),"")</f>
        <v>0.5</v>
      </c>
      <c r="P21" s="1065" cm="1">
        <f t="array" ref="P21">IF(Cdlac[[#This Row],[Quantity]]&gt;0,INDEX(TcacRents,$P$18,Cdlac[[#This Row],[Bedrooms]]+1)*Cdlac[[#This Row],[AMI]],"")</f>
        <v>1550</v>
      </c>
      <c r="Q21" s="1164"/>
      <c r="R21" s="1065" cm="1">
        <f t="array" ref="R21">IF(Cdlac[[#This Row],[Quantity]]&gt;0,INDEX(HudFmrs,$P$18,Cdlac[[#This Row],[Bedrooms]]+1),"")</f>
        <v>2328</v>
      </c>
      <c r="S21" s="1065">
        <f>IF(Cdlac[[#This Row],[Quantity]]&gt;0,MAX(0,Cdlac[[#This Row],[Fair Market Rent]]-IF(AND($G$37,$G$38,$G$38&lt;&gt;"",NOT(Cdlac[[#This Row],[Federal]]),Cdlac[[#This Row],[Preservation Rent]]&lt;&gt;""),Cdlac[[#This Row],[Preservation Rent]],Cdlac[[#This Row],[Restricted Rent]])),"")</f>
        <v>778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6" t="s">
        <v>1988</v>
      </c>
      <c r="D22" s="2656" t="s">
        <v>1989</v>
      </c>
      <c r="E22" s="2656" t="s">
        <v>1990</v>
      </c>
      <c r="F22" s="2656" t="s">
        <v>2611</v>
      </c>
      <c r="G22" s="2656" t="s">
        <v>1987</v>
      </c>
      <c r="H22" s="1070"/>
      <c r="I22" s="1069"/>
      <c r="L22" s="1044">
        <f>IFERROR(MIN(4,MATCH(Application!B720,UnitSizes,0)-1),"")</f>
        <v>1</v>
      </c>
      <c r="M22" s="1065">
        <f>Application!G720</f>
        <v>34</v>
      </c>
      <c r="N22" s="1071">
        <f>Application!AC720</f>
        <v>0.6</v>
      </c>
      <c r="O22" s="1071">
        <f>IF(Cdlac[[#This Row],[Quantity]]&gt;0,IF(Cdlac[[#This Row],[Federal]],30%,IF(AND(OR(NOT($G$38),$G$38=""),$G$43),40%,Cdlac[[#This Row],[iAMI]])),"")</f>
        <v>0.6</v>
      </c>
      <c r="P22" s="1065" cm="1">
        <f t="array" ref="P22">IF(Cdlac[[#This Row],[Quantity]]&gt;0,INDEX(TcacRents,$P$18,Cdlac[[#This Row],[Bedrooms]]+1)*Cdlac[[#This Row],[AMI]],"")</f>
        <v>1860</v>
      </c>
      <c r="Q22" s="1164"/>
      <c r="R22" s="1065" cm="1">
        <f t="array" ref="R22">IF(Cdlac[[#This Row],[Quantity]]&gt;0,INDEX(HudFmrs,$P$18,Cdlac[[#This Row],[Bedrooms]]+1),"")</f>
        <v>2328</v>
      </c>
      <c r="S22" s="1065">
        <f>IF(Cdlac[[#This Row],[Quantity]]&gt;0,MAX(0,Cdlac[[#This Row],[Fair Market Rent]]-IF(AND($G$37,$G$38,$G$38&lt;&gt;"",NOT(Cdlac[[#This Row],[Federal]]),Cdlac[[#This Row],[Preservation Rent]]&lt;&gt;""),Cdlac[[#This Row],[Preservation Rent]],Cdlac[[#This Row],[Restricted Rent]])),"")</f>
        <v>468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7"/>
      <c r="D23" s="2657"/>
      <c r="E23" s="2657"/>
      <c r="F23" s="2657"/>
      <c r="G23" s="2657"/>
      <c r="H23" s="1070"/>
      <c r="I23" s="1069"/>
      <c r="L23" s="1044">
        <f>IFERROR(MIN(4,MATCH(Application!B721,UnitSizes,0)-1),"")</f>
        <v>2</v>
      </c>
      <c r="M23" s="1065">
        <f>Application!G721</f>
        <v>3</v>
      </c>
      <c r="N23" s="1071">
        <f>Application!AC721</f>
        <v>0.3</v>
      </c>
      <c r="O23" s="1071">
        <f>IF(Cdlac[[#This Row],[Quantity]]&gt;0,IF(Cdlac[[#This Row],[Federal]],30%,IF(AND(OR(NOT($G$38),$G$38=""),$G$43),40%,Cdlac[[#This Row],[iAMI]])),"")</f>
        <v>0.3</v>
      </c>
      <c r="P23" s="1065" cm="1">
        <f t="array" ref="P23">IF(Cdlac[[#This Row],[Quantity]]&gt;0,INDEX(TcacRents,$P$18,Cdlac[[#This Row],[Bedrooms]]+1)*Cdlac[[#This Row],[AMI]],"")</f>
        <v>1116.5999999999999</v>
      </c>
      <c r="Q23" s="1164"/>
      <c r="R23" s="1065" cm="1">
        <f t="array" ref="R23">IF(Cdlac[[#This Row],[Quantity]]&gt;0,INDEX(HudFmrs,$P$18,Cdlac[[#This Row],[Bedrooms]]+1),"")</f>
        <v>2881</v>
      </c>
      <c r="S23" s="1065">
        <f>IF(Cdlac[[#This Row],[Quantity]]&gt;0,MAX(0,Cdlac[[#This Row],[Fair Market Rent]]-IF(AND($G$37,$G$38,$G$38&lt;&gt;"",NOT(Cdlac[[#This Row],[Federal]]),Cdlac[[#This Row],[Preservation Rent]]&lt;&gt;""),Cdlac[[#This Row],[Preservation Rent]],Cdlac[[#This Row],[Restricted Rent]])),"")</f>
        <v>1764.4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v>
      </c>
      <c r="N24" s="1071">
        <f>Application!AC722</f>
        <v>0.5</v>
      </c>
      <c r="O24" s="1071">
        <f>IF(Cdlac[[#This Row],[Quantity]]&gt;0,IF(Cdlac[[#This Row],[Federal]],30%,IF(AND(OR(NOT($G$38),$G$38=""),$G$43),40%,Cdlac[[#This Row],[iAMI]])),"")</f>
        <v>0.5</v>
      </c>
      <c r="P24" s="1065" cm="1">
        <f t="array" ref="P24">IF(Cdlac[[#This Row],[Quantity]]&gt;0,INDEX(TcacRents,$P$18,Cdlac[[#This Row],[Bedrooms]]+1)*Cdlac[[#This Row],[AMI]],"")</f>
        <v>1861</v>
      </c>
      <c r="Q24" s="1164"/>
      <c r="R24" s="1065" cm="1">
        <f t="array" ref="R24">IF(Cdlac[[#This Row],[Quantity]]&gt;0,INDEX(HudFmrs,$P$18,Cdlac[[#This Row],[Bedrooms]]+1),"")</f>
        <v>2881</v>
      </c>
      <c r="S24" s="1065">
        <f>IF(Cdlac[[#This Row],[Quantity]]&gt;0,MAX(0,Cdlac[[#This Row],[Fair Market Rent]]-IF(AND($G$37,$G$38,$G$38&lt;&gt;"",NOT(Cdlac[[#This Row],[Federal]]),Cdlac[[#This Row],[Preservation Rent]]&lt;&gt;""),Cdlac[[#This Row],[Preservation Rent]],Cdlac[[#This Row],[Restricted Rent]])),"")</f>
        <v>1020</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43</v>
      </c>
      <c r="F25" s="1072">
        <f>E25</f>
        <v>43</v>
      </c>
      <c r="G25" s="1072">
        <f>D25*F25</f>
        <v>43</v>
      </c>
      <c r="L25" s="1044">
        <f>IFERROR(MIN(4,MATCH(Application!B723,UnitSizes,0)-1),"")</f>
        <v>2</v>
      </c>
      <c r="M25" s="1065">
        <f>Application!G723</f>
        <v>17</v>
      </c>
      <c r="N25" s="1071">
        <f>Application!AC723</f>
        <v>0.6</v>
      </c>
      <c r="O25" s="1071">
        <f>IF(Cdlac[[#This Row],[Quantity]]&gt;0,IF(Cdlac[[#This Row],[Federal]],30%,IF(AND(OR(NOT($G$38),$G$38=""),$G$43),40%,Cdlac[[#This Row],[iAMI]])),"")</f>
        <v>0.6</v>
      </c>
      <c r="P25" s="1065" cm="1">
        <f t="array" ref="P25">IF(Cdlac[[#This Row],[Quantity]]&gt;0,INDEX(TcacRents,$P$18,Cdlac[[#This Row],[Bedrooms]]+1)*Cdlac[[#This Row],[AMI]],"")</f>
        <v>2233.1999999999998</v>
      </c>
      <c r="Q25" s="1164"/>
      <c r="R25" s="1065" cm="1">
        <f t="array" ref="R25">IF(Cdlac[[#This Row],[Quantity]]&gt;0,INDEX(HudFmrs,$P$18,Cdlac[[#This Row],[Bedrooms]]+1),"")</f>
        <v>2881</v>
      </c>
      <c r="S25" s="1065">
        <f>IF(Cdlac[[#This Row],[Quantity]]&gt;0,MAX(0,Cdlac[[#This Row],[Fair Market Rent]]-IF(AND($G$37,$G$38,$G$38&lt;&gt;"",NOT(Cdlac[[#This Row],[Federal]]),Cdlac[[#This Row],[Preservation Rent]]&lt;&gt;""),Cdlac[[#This Row],[Preservation Rent]],Cdlac[[#This Row],[Restricted Rent]])),"")</f>
        <v>647.80000000000018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23</v>
      </c>
      <c r="F26" s="1075">
        <f>SUM(E26:E28)-SUM(F27:F28)</f>
        <v>23</v>
      </c>
      <c r="G26" s="1072">
        <f>D26*F26</f>
        <v>28.75</v>
      </c>
      <c r="H26" s="1074"/>
      <c r="I26" s="1074"/>
      <c r="L26" s="1044">
        <f>IFERROR(MIN(4,MATCH(Application!B724,UnitSizes,0)-1),"")</f>
        <v>3</v>
      </c>
      <c r="M26" s="1065">
        <f>Application!G724</f>
        <v>3</v>
      </c>
      <c r="N26" s="1071">
        <f>Application!AC724</f>
        <v>0.3</v>
      </c>
      <c r="O26" s="1071">
        <f>IF(Cdlac[[#This Row],[Quantity]]&gt;0,IF(Cdlac[[#This Row],[Federal]],30%,IF(AND(OR(NOT($G$38),$G$38=""),$G$43),40%,Cdlac[[#This Row],[iAMI]])),"")</f>
        <v>0.3</v>
      </c>
      <c r="P26" s="1065" cm="1">
        <f t="array" ref="P26">IF(Cdlac[[#This Row],[Quantity]]&gt;0,INDEX(TcacRents,$P$18,Cdlac[[#This Row],[Bedrooms]]+1)*Cdlac[[#This Row],[AMI]],"")</f>
        <v>1290</v>
      </c>
      <c r="Q26" s="1164"/>
      <c r="R26" s="1065" cm="1">
        <f t="array" ref="R26">IF(Cdlac[[#This Row],[Quantity]]&gt;0,INDEX(HudFmrs,$P$18,Cdlac[[#This Row],[Bedrooms]]+1),"")</f>
        <v>3852</v>
      </c>
      <c r="S26" s="1065">
        <f>IF(Cdlac[[#This Row],[Quantity]]&gt;0,MAX(0,Cdlac[[#This Row],[Fair Market Rent]]-IF(AND($G$37,$G$38,$G$38&lt;&gt;"",NOT(Cdlac[[#This Row],[Federal]]),Cdlac[[#This Row],[Preservation Rent]]&lt;&gt;""),Cdlac[[#This Row],[Preservation Rent]],Cdlac[[#This Row],[Restricted Rent]])),"")</f>
        <v>2562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23</v>
      </c>
      <c r="F27" s="1075">
        <f>MIN(E27,ROUNDDOWN(E29*30%,0))</f>
        <v>23</v>
      </c>
      <c r="G27" s="1072">
        <f>D27*F27</f>
        <v>34.5</v>
      </c>
      <c r="H27" s="1074"/>
      <c r="I27" s="1074"/>
      <c r="L27" s="1044">
        <f>IFERROR(MIN(4,MATCH(Application!B725,UnitSizes,0)-1),"")</f>
        <v>3</v>
      </c>
      <c r="M27" s="1065">
        <f>Application!G725</f>
        <v>3</v>
      </c>
      <c r="N27" s="1071">
        <f>Application!AC725</f>
        <v>0.5</v>
      </c>
      <c r="O27" s="1071">
        <f>IF(Cdlac[[#This Row],[Quantity]]&gt;0,IF(Cdlac[[#This Row],[Federal]],30%,IF(AND(OR(NOT($G$38),$G$38=""),$G$43),40%,Cdlac[[#This Row],[iAMI]])),"")</f>
        <v>0.5</v>
      </c>
      <c r="P27" s="1065" cm="1">
        <f t="array" ref="P27">IF(Cdlac[[#This Row],[Quantity]]&gt;0,INDEX(TcacRents,$P$18,Cdlac[[#This Row],[Bedrooms]]+1)*Cdlac[[#This Row],[AMI]],"")</f>
        <v>2150</v>
      </c>
      <c r="Q27" s="1164"/>
      <c r="R27" s="1065" cm="1">
        <f t="array" ref="R27">IF(Cdlac[[#This Row],[Quantity]]&gt;0,INDEX(HudFmrs,$P$18,Cdlac[[#This Row],[Bedrooms]]+1),"")</f>
        <v>3852</v>
      </c>
      <c r="S27" s="1065">
        <f>IF(Cdlac[[#This Row],[Quantity]]&gt;0,MAX(0,Cdlac[[#This Row],[Fair Market Rent]]-IF(AND($G$37,$G$38,$G$38&lt;&gt;"",NOT(Cdlac[[#This Row],[Federal]]),Cdlac[[#This Row],[Preservation Rent]]&lt;&gt;""),Cdlac[[#This Row],[Preservation Rent]],Cdlac[[#This Row],[Restricted Rent]])),"")</f>
        <v>1702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17</v>
      </c>
      <c r="N28" s="1071">
        <f>Application!AC726</f>
        <v>0.6</v>
      </c>
      <c r="O28" s="1071">
        <f>IF(Cdlac[[#This Row],[Quantity]]&gt;0,IF(Cdlac[[#This Row],[Federal]],30%,IF(AND(OR(NOT($G$38),$G$38=""),$G$43),40%,Cdlac[[#This Row],[iAMI]])),"")</f>
        <v>0.6</v>
      </c>
      <c r="P28" s="1065" cm="1">
        <f t="array" ref="P28">IF(Cdlac[[#This Row],[Quantity]]&gt;0,INDEX(TcacRents,$P$18,Cdlac[[#This Row],[Bedrooms]]+1)*Cdlac[[#This Row],[AMI]],"")</f>
        <v>2580</v>
      </c>
      <c r="Q28" s="1164"/>
      <c r="R28" s="1065" cm="1">
        <f t="array" ref="R28">IF(Cdlac[[#This Row],[Quantity]]&gt;0,INDEX(HudFmrs,$P$18,Cdlac[[#This Row],[Bedrooms]]+1),"")</f>
        <v>3852</v>
      </c>
      <c r="S28" s="1065">
        <f>IF(Cdlac[[#This Row],[Quantity]]&gt;0,MAX(0,Cdlac[[#This Row],[Fair Market Rent]]-IF(AND($G$37,$G$38,$G$38&lt;&gt;"",NOT(Cdlac[[#This Row],[Federal]]),Cdlac[[#This Row],[Preservation Rent]]&lt;&gt;""),Cdlac[[#This Row],[Preservation Rent]],Cdlac[[#This Row],[Restricted Rent]])),"")</f>
        <v>1272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8" t="s">
        <v>1587</v>
      </c>
      <c r="D29" s="2659"/>
      <c r="E29" s="1089">
        <f>SUM(E24:E28)</f>
        <v>89</v>
      </c>
      <c r="F29" s="1089">
        <f>SUM(F24:F28)</f>
        <v>89</v>
      </c>
      <c r="G29" s="1090">
        <f>SUMPRODUCT(D24:D28,F24:F28)</f>
        <v>106.25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106.25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5312500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1" t="str">
        <f>IF(AND(G37,G38,G38&lt;&gt;""),"Enter the average rent charged for each unit type over the last three years, as documented with rent rolls or property audits, in cells Q20:Q44","")</f>
        <v/>
      </c>
      <c r="D39" s="2661"/>
      <c r="E39" s="2661"/>
      <c r="F39" s="2661"/>
      <c r="G39" s="2661"/>
      <c r="H39" s="266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1"/>
      <c r="D40" s="2661"/>
      <c r="E40" s="2661"/>
      <c r="F40" s="2661"/>
      <c r="G40" s="2661"/>
      <c r="H40" s="266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1"/>
      <c r="D41" s="2661"/>
      <c r="E41" s="2661"/>
      <c r="F41" s="2661"/>
      <c r="G41" s="2661"/>
      <c r="H41" s="266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0.55168539325842691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79795.8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14363244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44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11</v>
      </c>
    </row>
    <row r="61" spans="2:21" ht="15" customHeight="1">
      <c r="E61" s="1117" t="s">
        <v>1996</v>
      </c>
      <c r="G61" s="1079">
        <f>ROUNDDOWN(E29*50%,0)</f>
        <v>44</v>
      </c>
    </row>
    <row r="62" spans="2:21" ht="15" customHeight="1">
      <c r="E62" s="1117"/>
      <c r="G62" s="1079"/>
    </row>
    <row r="63" spans="2:21" ht="15" customHeight="1">
      <c r="E63" s="1117" t="s">
        <v>1956</v>
      </c>
      <c r="G63" s="1114">
        <f>MIN(G60:G61)</f>
        <v>11</v>
      </c>
    </row>
    <row r="64" spans="2:21" ht="15" customHeight="1">
      <c r="E64" s="1117" t="s">
        <v>1946</v>
      </c>
      <c r="F64" s="1113" t="s">
        <v>1994</v>
      </c>
      <c r="G64" s="1124">
        <v>20000</v>
      </c>
    </row>
    <row r="65" spans="2:14" ht="15" customHeight="1">
      <c r="E65" s="1118" t="s">
        <v>1978</v>
      </c>
      <c r="F65" s="1046"/>
      <c r="G65" s="1123">
        <f>G63*G64</f>
        <v>220000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Highest Resource</v>
      </c>
      <c r="L72" s="2669" t="s">
        <v>1971</v>
      </c>
      <c r="M72" s="2670"/>
      <c r="N72" s="1131">
        <v>30000</v>
      </c>
    </row>
    <row r="73" spans="2:14" ht="15" customHeight="1">
      <c r="C73" s="2671" t="s">
        <v>2264</v>
      </c>
      <c r="D73" s="2671"/>
      <c r="E73" s="2671"/>
      <c r="F73" s="2671"/>
      <c r="G73" s="1043" t="s">
        <v>670</v>
      </c>
      <c r="L73" s="2680" t="s">
        <v>1939</v>
      </c>
      <c r="M73" s="2681"/>
      <c r="N73" s="1132">
        <v>20000</v>
      </c>
    </row>
    <row r="74" spans="2:14" ht="15" customHeight="1" thickBot="1">
      <c r="C74" s="2671"/>
      <c r="D74" s="2671"/>
      <c r="E74" s="2671"/>
      <c r="F74" s="2671"/>
      <c r="L74" s="2682" t="s">
        <v>1972</v>
      </c>
      <c r="M74" s="2683"/>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106.25</v>
      </c>
    </row>
    <row r="80" spans="2:14" ht="15" customHeight="1">
      <c r="D80" s="1046"/>
      <c r="E80" s="1118" t="s">
        <v>2269</v>
      </c>
      <c r="F80" s="1046"/>
      <c r="G80" s="1123">
        <f>G79*G78*G76</f>
        <v>3187500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106.25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106.25</v>
      </c>
    </row>
    <row r="97" spans="2:14" ht="15" customHeight="1">
      <c r="E97" s="1118" t="s">
        <v>1963</v>
      </c>
      <c r="F97" s="1046"/>
      <c r="G97" s="1123">
        <f>G94*G95*G96</f>
        <v>2975000</v>
      </c>
      <c r="L97" s="1127" t="str">
        <f>'Points System'!H638</f>
        <v>(i)</v>
      </c>
      <c r="M97" s="2688" t="s">
        <v>1406</v>
      </c>
      <c r="N97" s="2689"/>
    </row>
    <row r="98" spans="2:14" ht="15" customHeight="1">
      <c r="C98" s="1077"/>
      <c r="G98" s="1114"/>
      <c r="L98" s="1128" t="str">
        <f>'Points System'!H650</f>
        <v>(i)</v>
      </c>
      <c r="M98" s="2684" t="s">
        <v>1958</v>
      </c>
      <c r="N98" s="2685"/>
    </row>
    <row r="99" spans="2:14" ht="15" customHeight="1">
      <c r="E99" s="1084" t="s">
        <v>1999</v>
      </c>
      <c r="G99" s="1126">
        <f>COUNTIFS(L97:L104,"(i)")</f>
        <v>3</v>
      </c>
      <c r="L99" s="1128" t="str">
        <f>'Points System'!H685</f>
        <v>(iv)</v>
      </c>
      <c r="M99" s="2684" t="s">
        <v>1959</v>
      </c>
      <c r="N99" s="2685"/>
    </row>
    <row r="100" spans="2:14" ht="15" customHeight="1">
      <c r="E100" s="1084" t="s">
        <v>1946</v>
      </c>
      <c r="F100" s="1113" t="s">
        <v>1994</v>
      </c>
      <c r="G100" s="1124">
        <v>4000</v>
      </c>
      <c r="L100" s="1128" t="str">
        <f>IF(OR('Points System'!H709="(ii)",'Points System'!H709="(i)"),"(i)","N/A")</f>
        <v>(i)</v>
      </c>
      <c r="M100" s="2684" t="s">
        <v>1960</v>
      </c>
      <c r="N100" s="2685"/>
    </row>
    <row r="101" spans="2:14" ht="15" customHeight="1">
      <c r="E101" s="1118" t="s">
        <v>1964</v>
      </c>
      <c r="F101" s="1046"/>
      <c r="G101" s="1123">
        <f>G96*G99*G100</f>
        <v>1275000</v>
      </c>
      <c r="L101" s="1129" t="str">
        <f>'Points System'!H723</f>
        <v>N/A</v>
      </c>
      <c r="M101" s="2684" t="s">
        <v>1432</v>
      </c>
      <c r="N101" s="2685"/>
    </row>
    <row r="102" spans="2:14" ht="15" customHeight="1">
      <c r="L102" s="1128" t="str">
        <f>'Points System'!H735</f>
        <v>N/A</v>
      </c>
      <c r="M102" s="2684" t="s">
        <v>1961</v>
      </c>
      <c r="N102" s="2685"/>
    </row>
    <row r="103" spans="2:14" ht="15" customHeight="1">
      <c r="C103" s="1080" t="s">
        <v>1966</v>
      </c>
      <c r="L103" s="1128" t="str">
        <f>'Points System'!H751</f>
        <v>N/A</v>
      </c>
      <c r="M103" s="2684" t="s">
        <v>1962</v>
      </c>
      <c r="N103" s="2685"/>
    </row>
    <row r="104" spans="2:14" ht="15" customHeight="1" thickBot="1">
      <c r="C104" s="1077" t="s">
        <v>1967</v>
      </c>
      <c r="G104" s="1043"/>
      <c r="L104" s="1130" t="str">
        <f>'Points System'!H763</f>
        <v>(ii)</v>
      </c>
      <c r="M104" s="2686" t="s">
        <v>1435</v>
      </c>
      <c r="N104" s="2687"/>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106.25</v>
      </c>
    </row>
    <row r="112" spans="2:14" ht="15" customHeight="1">
      <c r="E112" s="1084" t="s">
        <v>1946</v>
      </c>
      <c r="F112" s="1113" t="s">
        <v>1994</v>
      </c>
      <c r="G112" s="1124">
        <v>25000</v>
      </c>
    </row>
    <row r="113" spans="2:9" ht="15" customHeight="1">
      <c r="E113" s="1118" t="s">
        <v>1965</v>
      </c>
      <c r="F113" s="1046"/>
      <c r="G113" s="1123">
        <f>G109*G112*G96</f>
        <v>2656250</v>
      </c>
    </row>
    <row r="114" spans="2:9" ht="15" customHeight="1">
      <c r="C114" s="1077"/>
      <c r="E114" s="1077"/>
    </row>
    <row r="115" spans="2:9" ht="15" customHeight="1">
      <c r="E115" s="1118" t="s">
        <v>2274</v>
      </c>
      <c r="G115" s="1123">
        <f>G113+G101+G97</f>
        <v>6906250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0" t="s">
        <v>2229</v>
      </c>
      <c r="D119" s="2660"/>
      <c r="E119" s="2660"/>
      <c r="F119" s="2660"/>
    </row>
    <row r="120" spans="2:9" ht="15" customHeight="1">
      <c r="C120" s="2660"/>
      <c r="D120" s="2660"/>
      <c r="E120" s="2660"/>
      <c r="F120" s="2660"/>
      <c r="G120" s="1043"/>
    </row>
    <row r="121" spans="2:9" ht="15" customHeight="1"/>
    <row r="122" spans="2:9" ht="15" customHeight="1">
      <c r="C122" s="1044" t="s">
        <v>2231</v>
      </c>
      <c r="G122" s="2662"/>
      <c r="H122" s="2662"/>
    </row>
    <row r="123" spans="2:9" ht="15" customHeight="1">
      <c r="G123" s="2662"/>
      <c r="H123" s="2662"/>
    </row>
    <row r="124" spans="2:9" ht="15" customHeight="1">
      <c r="G124" s="2663"/>
      <c r="H124" s="2663"/>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2002</v>
      </c>
      <c r="G131" s="1078">
        <f>MEDIAN((Application!CU160:CU217))</f>
        <v>489600</v>
      </c>
    </row>
    <row r="132" spans="2:9">
      <c r="D132" s="1046"/>
      <c r="E132" s="1118" t="s">
        <v>2004</v>
      </c>
      <c r="F132" s="1134"/>
      <c r="G132" s="1135">
        <f>((G130-G131)/G131)*0.25</f>
        <v>8.1699346405228761E-4</v>
      </c>
      <c r="H132" s="1042"/>
      <c r="I132" s="1042"/>
    </row>
    <row r="133" spans="2:9">
      <c r="D133" s="1045"/>
      <c r="E133" s="1045"/>
    </row>
    <row r="134" spans="2:9">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5" t="s">
        <v>2277</v>
      </c>
      <c r="D138" s="2655"/>
      <c r="E138" s="2655"/>
      <c r="F138" s="2655"/>
    </row>
    <row r="139" spans="2:9">
      <c r="B139" s="1045"/>
      <c r="C139" s="2655"/>
      <c r="D139" s="2655"/>
      <c r="E139" s="2655"/>
      <c r="F139" s="2655"/>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3825000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90" t="s">
        <v>910</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84.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5</v>
      </c>
      <c r="C4" s="1162"/>
      <c r="D4" s="428">
        <f>Application!O718</f>
        <v>844</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4</v>
      </c>
      <c r="C5" s="1162"/>
      <c r="D5" s="428">
        <f>Application!O719</f>
        <v>1464</v>
      </c>
      <c r="E5" s="429"/>
      <c r="F5" s="1083"/>
      <c r="G5" s="428">
        <f t="shared" ref="G5:G38" si="2">F5*B5</f>
        <v>0</v>
      </c>
      <c r="H5" s="429"/>
      <c r="I5" s="428" t="str">
        <f t="shared" si="0"/>
        <v/>
      </c>
      <c r="J5" s="428" t="str">
        <f t="shared" si="1"/>
        <v/>
      </c>
      <c r="K5" s="204"/>
      <c r="L5" s="305"/>
    </row>
    <row r="6" spans="1:12">
      <c r="A6" s="428" t="str">
        <f>Application!B720</f>
        <v>1 Bedroom</v>
      </c>
      <c r="B6" s="1082">
        <f>Application!G720</f>
        <v>34</v>
      </c>
      <c r="C6" s="1162"/>
      <c r="D6" s="428">
        <f>Application!O720</f>
        <v>1774</v>
      </c>
      <c r="E6" s="429"/>
      <c r="F6" s="1083"/>
      <c r="G6" s="428">
        <f t="shared" si="2"/>
        <v>0</v>
      </c>
      <c r="H6" s="429"/>
      <c r="I6" s="428" t="str">
        <f t="shared" si="0"/>
        <v/>
      </c>
      <c r="J6" s="428" t="str">
        <f t="shared" si="1"/>
        <v/>
      </c>
      <c r="K6" s="204"/>
      <c r="L6" s="305"/>
    </row>
    <row r="7" spans="1:12">
      <c r="A7" s="428" t="str">
        <f>Application!B721</f>
        <v>2 Bedrooms</v>
      </c>
      <c r="B7" s="1082">
        <f>Application!G721</f>
        <v>3</v>
      </c>
      <c r="C7" s="1162"/>
      <c r="D7" s="428">
        <f>Application!O721</f>
        <v>1002</v>
      </c>
      <c r="E7" s="429"/>
      <c r="F7" s="1083"/>
      <c r="G7" s="428">
        <f t="shared" si="2"/>
        <v>0</v>
      </c>
      <c r="H7" s="429"/>
      <c r="I7" s="428" t="str">
        <f t="shared" si="0"/>
        <v/>
      </c>
      <c r="J7" s="428" t="str">
        <f t="shared" si="1"/>
        <v/>
      </c>
      <c r="K7" s="204"/>
      <c r="L7" s="305"/>
    </row>
    <row r="8" spans="1:12">
      <c r="A8" s="428" t="str">
        <f>Application!B722</f>
        <v>2 Bedrooms</v>
      </c>
      <c r="B8" s="1082">
        <f>Application!G722</f>
        <v>3</v>
      </c>
      <c r="C8" s="1162"/>
      <c r="D8" s="428">
        <f>Application!O722</f>
        <v>1747</v>
      </c>
      <c r="E8" s="429"/>
      <c r="F8" s="1083"/>
      <c r="G8" s="428">
        <f t="shared" si="2"/>
        <v>0</v>
      </c>
      <c r="H8" s="429"/>
      <c r="I8" s="428" t="str">
        <f t="shared" si="0"/>
        <v/>
      </c>
      <c r="J8" s="428" t="str">
        <f t="shared" si="1"/>
        <v/>
      </c>
      <c r="K8" s="204"/>
      <c r="L8" s="305"/>
    </row>
    <row r="9" spans="1:12">
      <c r="A9" s="428" t="str">
        <f>Application!B723</f>
        <v>2 Bedrooms</v>
      </c>
      <c r="B9" s="1082">
        <f>Application!G723</f>
        <v>17</v>
      </c>
      <c r="C9" s="1162"/>
      <c r="D9" s="428">
        <f>Application!O723</f>
        <v>2119</v>
      </c>
      <c r="E9" s="429"/>
      <c r="F9" s="1083"/>
      <c r="G9" s="428">
        <f t="shared" si="2"/>
        <v>0</v>
      </c>
      <c r="H9" s="429"/>
      <c r="I9" s="428" t="str">
        <f t="shared" si="0"/>
        <v/>
      </c>
      <c r="J9" s="428" t="str">
        <f t="shared" si="1"/>
        <v/>
      </c>
      <c r="K9" s="204"/>
      <c r="L9" s="305"/>
    </row>
    <row r="10" spans="1:12">
      <c r="A10" s="428" t="str">
        <f>Application!B724</f>
        <v>3 Bedrooms</v>
      </c>
      <c r="B10" s="1082">
        <f>Application!G724</f>
        <v>3</v>
      </c>
      <c r="C10" s="1162"/>
      <c r="D10" s="428">
        <f>Application!O724</f>
        <v>1144</v>
      </c>
      <c r="E10" s="429"/>
      <c r="F10" s="1083"/>
      <c r="G10" s="428">
        <f t="shared" si="2"/>
        <v>0</v>
      </c>
      <c r="H10" s="429"/>
      <c r="I10" s="428" t="str">
        <f t="shared" si="0"/>
        <v/>
      </c>
      <c r="J10" s="428" t="str">
        <f t="shared" si="1"/>
        <v/>
      </c>
      <c r="K10" s="204"/>
      <c r="L10" s="305"/>
    </row>
    <row r="11" spans="1:12">
      <c r="A11" s="428" t="str">
        <f>Application!B725</f>
        <v>3 Bedrooms</v>
      </c>
      <c r="B11" s="1082">
        <f>Application!G725</f>
        <v>3</v>
      </c>
      <c r="C11" s="1162"/>
      <c r="D11" s="428">
        <f>Application!O725</f>
        <v>2004</v>
      </c>
      <c r="E11" s="429"/>
      <c r="F11" s="1083"/>
      <c r="G11" s="428">
        <f t="shared" si="2"/>
        <v>0</v>
      </c>
      <c r="H11" s="429"/>
      <c r="I11" s="428" t="str">
        <f t="shared" si="0"/>
        <v/>
      </c>
      <c r="J11" s="428" t="str">
        <f t="shared" si="1"/>
        <v/>
      </c>
      <c r="K11" s="204"/>
      <c r="L11" s="305"/>
    </row>
    <row r="12" spans="1:12">
      <c r="A12" s="428" t="str">
        <f>Application!B726</f>
        <v>3 Bedrooms</v>
      </c>
      <c r="B12" s="1082">
        <f>Application!G726</f>
        <v>17</v>
      </c>
      <c r="C12" s="1162"/>
      <c r="D12" s="428">
        <f>Application!O726</f>
        <v>2434</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165484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2259</v>
      </c>
    </row>
    <row r="43" spans="1:12">
      <c r="A43" s="2691" t="s">
        <v>2498</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2260</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G67" sqref="G67"/>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2095</v>
      </c>
      <c r="B1" s="211"/>
    </row>
    <row r="2" spans="1:34"/>
    <row r="3" spans="1:34" ht="15.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
      <c r="A4" s="219" t="s">
        <v>838</v>
      </c>
      <c r="C4" s="237">
        <v>1.0249999999999999</v>
      </c>
      <c r="E4" s="219">
        <f>Application!Y801</f>
        <v>1985808</v>
      </c>
      <c r="G4" s="219">
        <f>E4*$C$4</f>
        <v>2035453.1999999997</v>
      </c>
      <c r="I4" s="219">
        <f>G4*$C$4</f>
        <v>2086339.5299999996</v>
      </c>
      <c r="K4" s="219">
        <f>I4*$C$4</f>
        <v>2138498.0182499993</v>
      </c>
      <c r="M4" s="219">
        <f>K4*$C$4</f>
        <v>2191960.4687062493</v>
      </c>
      <c r="O4" s="219">
        <f>M4*$C$4</f>
        <v>2246759.4804239054</v>
      </c>
      <c r="Q4" s="219">
        <f>O4*$C$4</f>
        <v>2302928.4674345027</v>
      </c>
      <c r="S4" s="219">
        <f>Q4*$C$4</f>
        <v>2360501.6791203651</v>
      </c>
      <c r="U4" s="219">
        <f>S4*$C$4</f>
        <v>2419514.2210983741</v>
      </c>
      <c r="W4" s="219">
        <f>U4*$C$4</f>
        <v>2480002.0766258333</v>
      </c>
      <c r="Y4" s="219">
        <f>W4*$C$4</f>
        <v>2542002.1285414789</v>
      </c>
      <c r="AA4" s="219">
        <f>Y4*$C$4</f>
        <v>2605552.1817550156</v>
      </c>
      <c r="AC4" s="219">
        <f>AA4*$C$4</f>
        <v>2670690.9862988908</v>
      </c>
      <c r="AE4" s="219">
        <f>AC4*$C$4</f>
        <v>2737458.2609563628</v>
      </c>
      <c r="AG4" s="219">
        <f>AE4*$C$4</f>
        <v>2805894.7174802716</v>
      </c>
    </row>
    <row r="5" spans="1:34" s="210" customFormat="1" ht="14">
      <c r="B5" s="210" t="s">
        <v>839</v>
      </c>
      <c r="C5" s="238">
        <f>IF(Application!$D$211="Special Needs",(((0.1*Application!$T$212)+(0.05*(1-Application!$T$212)))),0.05)</f>
        <v>0.05</v>
      </c>
      <c r="E5" s="221">
        <f>-E4*$C$5</f>
        <v>-99290.400000000009</v>
      </c>
      <c r="F5" s="221"/>
      <c r="G5" s="221">
        <f>-G4*$C$5</f>
        <v>-101772.65999999999</v>
      </c>
      <c r="H5" s="221"/>
      <c r="I5" s="221">
        <f>-I4*$C$5</f>
        <v>-104316.97649999999</v>
      </c>
      <c r="J5" s="221"/>
      <c r="K5" s="221">
        <f>-K4*$C$5</f>
        <v>-106924.90091249997</v>
      </c>
      <c r="L5" s="221"/>
      <c r="M5" s="221">
        <f>-M4*$C$5</f>
        <v>-109598.02343531247</v>
      </c>
      <c r="N5" s="221"/>
      <c r="O5" s="221">
        <f>-O4*$C$5</f>
        <v>-112337.97402119527</v>
      </c>
      <c r="P5" s="221"/>
      <c r="Q5" s="221">
        <f>-Q4*$C$5</f>
        <v>-115146.42337172513</v>
      </c>
      <c r="R5" s="221"/>
      <c r="S5" s="221">
        <f>-S4*$C$5</f>
        <v>-118025.08395601826</v>
      </c>
      <c r="T5" s="221"/>
      <c r="U5" s="221">
        <f>-U4*$C$5</f>
        <v>-120975.71105491871</v>
      </c>
      <c r="V5" s="221"/>
      <c r="W5" s="221">
        <f>-W4*$C$5</f>
        <v>-124000.10383129166</v>
      </c>
      <c r="X5" s="221"/>
      <c r="Y5" s="221">
        <f>-Y4*$C$5</f>
        <v>-127100.10642707394</v>
      </c>
      <c r="Z5" s="221"/>
      <c r="AA5" s="221">
        <f>-AA4*$C$5</f>
        <v>-130277.60908775078</v>
      </c>
      <c r="AB5" s="221"/>
      <c r="AC5" s="221">
        <f>-AC4*$C$5</f>
        <v>-133534.54931494454</v>
      </c>
      <c r="AD5" s="221"/>
      <c r="AE5" s="221">
        <f>-AE4*$C$5</f>
        <v>-136872.91304781815</v>
      </c>
      <c r="AF5" s="221"/>
      <c r="AG5" s="221">
        <f>-AG4*$C$5</f>
        <v>-140294.7358740136</v>
      </c>
    </row>
    <row r="6" spans="1:34" s="210" customFormat="1" ht="14">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288</v>
      </c>
      <c r="C8" s="237">
        <v>1.0249999999999999</v>
      </c>
      <c r="E8" s="222">
        <f>Application!Z817</f>
        <v>21600</v>
      </c>
      <c r="F8" s="222"/>
      <c r="G8" s="222">
        <f>E8*$C$8</f>
        <v>22139.999999999996</v>
      </c>
      <c r="H8" s="222"/>
      <c r="I8" s="222">
        <f>G8*$C$8</f>
        <v>22693.499999999993</v>
      </c>
      <c r="J8" s="222"/>
      <c r="K8" s="222">
        <f>I8*$C$8</f>
        <v>23260.837499999991</v>
      </c>
      <c r="L8" s="222"/>
      <c r="M8" s="222">
        <f>K8*$C$8</f>
        <v>23842.358437499988</v>
      </c>
      <c r="N8" s="222"/>
      <c r="O8" s="222">
        <f>M8*$C$8</f>
        <v>24438.417398437487</v>
      </c>
      <c r="P8" s="222"/>
      <c r="Q8" s="222">
        <f>O8*$C$8</f>
        <v>25049.377833398423</v>
      </c>
      <c r="R8" s="222"/>
      <c r="S8" s="222">
        <f>Q8*$C$8</f>
        <v>25675.612279233381</v>
      </c>
      <c r="T8" s="222"/>
      <c r="U8" s="222">
        <f>S8*$C$8</f>
        <v>26317.502586214214</v>
      </c>
      <c r="V8" s="222"/>
      <c r="W8" s="222">
        <f>U8*$C$8</f>
        <v>26975.440150869566</v>
      </c>
      <c r="X8" s="222"/>
      <c r="Y8" s="222">
        <f>W8*$C$8</f>
        <v>27649.826154641301</v>
      </c>
      <c r="Z8" s="222"/>
      <c r="AA8" s="222">
        <f>Y8*$C$8</f>
        <v>28341.071808507331</v>
      </c>
      <c r="AB8" s="222"/>
      <c r="AC8" s="222">
        <f>AA8*$C$8</f>
        <v>29049.598603720013</v>
      </c>
      <c r="AD8" s="222"/>
      <c r="AE8" s="222">
        <f>AC8*$C$8</f>
        <v>29775.838568813011</v>
      </c>
      <c r="AF8" s="222"/>
      <c r="AG8" s="222">
        <f>AE8*$C$8</f>
        <v>30520.234533033334</v>
      </c>
    </row>
    <row r="9" spans="1:34" s="210" customFormat="1" ht="14">
      <c r="B9" s="210" t="s">
        <v>839</v>
      </c>
      <c r="C9" s="238">
        <f>IF(Application!$D$211="Special Needs",(((0.1*Application!$T$212)+(0.05*(1-Application!$T$212)))),0.05)</f>
        <v>0.05</v>
      </c>
      <c r="E9" s="221">
        <f>-E8*$C$9</f>
        <v>-1080</v>
      </c>
      <c r="F9" s="221"/>
      <c r="G9" s="221">
        <f>-G8*$C$9</f>
        <v>-1106.9999999999998</v>
      </c>
      <c r="H9" s="221"/>
      <c r="I9" s="221">
        <f>-I8*$C$9</f>
        <v>-1134.6749999999997</v>
      </c>
      <c r="J9" s="221"/>
      <c r="K9" s="221">
        <f>-K8*$C$9</f>
        <v>-1163.0418749999997</v>
      </c>
      <c r="L9" s="221"/>
      <c r="M9" s="221">
        <f>-M8*$C$9</f>
        <v>-1192.1179218749994</v>
      </c>
      <c r="N9" s="221"/>
      <c r="O9" s="221">
        <f>-O8*$C$9</f>
        <v>-1221.9208699218743</v>
      </c>
      <c r="P9" s="221"/>
      <c r="Q9" s="221">
        <f>-Q8*$C$9</f>
        <v>-1252.4688916699213</v>
      </c>
      <c r="R9" s="221"/>
      <c r="S9" s="221">
        <f>-S8*$C$9</f>
        <v>-1283.7806139616691</v>
      </c>
      <c r="T9" s="221"/>
      <c r="U9" s="221">
        <f>-U8*$C$9</f>
        <v>-1315.8751293107107</v>
      </c>
      <c r="V9" s="221"/>
      <c r="W9" s="221">
        <f>-W8*$C$9</f>
        <v>-1348.7720075434784</v>
      </c>
      <c r="X9" s="221"/>
      <c r="Y9" s="221">
        <f>-Y8*$C$9</f>
        <v>-1382.4913077320653</v>
      </c>
      <c r="Z9" s="221"/>
      <c r="AA9" s="221">
        <f>-AA8*$C$9</f>
        <v>-1417.0535904253666</v>
      </c>
      <c r="AB9" s="221"/>
      <c r="AC9" s="221">
        <f>-AC8*$C$9</f>
        <v>-1452.4799301860007</v>
      </c>
      <c r="AD9" s="221"/>
      <c r="AE9" s="221">
        <f>-AE8*$C$9</f>
        <v>-1488.7919284406507</v>
      </c>
      <c r="AF9" s="221"/>
      <c r="AG9" s="221">
        <f>-AG8*$C$9</f>
        <v>-1526.0117266516668</v>
      </c>
    </row>
    <row r="10" spans="1:34" s="210" customFormat="1" ht="14">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860</v>
      </c>
      <c r="C11" s="216"/>
      <c r="E11" s="223">
        <f>SUM(E4:E10)</f>
        <v>1907037.6</v>
      </c>
      <c r="G11" s="223">
        <f>SUM(G4:G10)</f>
        <v>1954713.5399999998</v>
      </c>
      <c r="I11" s="223">
        <f>SUM(I4:I10)</f>
        <v>2003581.3784999994</v>
      </c>
      <c r="K11" s="223">
        <f>SUM(K4:K10)</f>
        <v>2053670.9129624991</v>
      </c>
      <c r="M11" s="223">
        <f>SUM(M4:M10)</f>
        <v>2105012.685786562</v>
      </c>
      <c r="O11" s="223">
        <f>SUM(O4:O10)</f>
        <v>2157638.0029312256</v>
      </c>
      <c r="Q11" s="223">
        <f>SUM(Q4:Q10)</f>
        <v>2211578.953004506</v>
      </c>
      <c r="S11" s="223">
        <f>SUM(S4:S10)</f>
        <v>2266868.4268296189</v>
      </c>
      <c r="U11" s="223">
        <f>SUM(U4:U10)</f>
        <v>2323540.1375003587</v>
      </c>
      <c r="W11" s="223">
        <f>SUM(W4:W10)</f>
        <v>2381628.6409378676</v>
      </c>
      <c r="Y11" s="223">
        <f>SUM(Y4:Y10)</f>
        <v>2441169.3569613141</v>
      </c>
      <c r="AA11" s="223">
        <f>SUM(AA4:AA10)</f>
        <v>2502198.5908853468</v>
      </c>
      <c r="AC11" s="223">
        <f>SUM(AC4:AC10)</f>
        <v>2564753.5556574799</v>
      </c>
      <c r="AE11" s="223">
        <f>SUM(AE4:AE10)</f>
        <v>2628872.3945489172</v>
      </c>
      <c r="AG11" s="223">
        <f>SUM(AG4:AG10)</f>
        <v>2694594.2044126396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842</v>
      </c>
      <c r="C15" s="176"/>
      <c r="E15" s="219">
        <f>Application!W847</f>
        <v>64422</v>
      </c>
      <c r="G15" s="219">
        <f>E15*$C$14</f>
        <v>66676.76999999999</v>
      </c>
      <c r="I15" s="219">
        <f>G15*$C$14</f>
        <v>69010.456949999978</v>
      </c>
      <c r="K15" s="219">
        <f>I15*$C$14</f>
        <v>71425.822943249965</v>
      </c>
      <c r="M15" s="219">
        <f>K15*$C$14</f>
        <v>73925.72674626371</v>
      </c>
      <c r="O15" s="219">
        <f>M15*$C$14</f>
        <v>76513.12718238293</v>
      </c>
      <c r="Q15" s="219">
        <f>O15*$C$14</f>
        <v>79191.086633766332</v>
      </c>
      <c r="S15" s="219">
        <f>Q15*$C$14</f>
        <v>81962.774665948149</v>
      </c>
      <c r="U15" s="219">
        <f>S15*$C$14</f>
        <v>84831.471779256332</v>
      </c>
      <c r="W15" s="219">
        <f>U15*$C$14</f>
        <v>87800.573291530294</v>
      </c>
      <c r="Y15" s="219">
        <f>W15*$C$14</f>
        <v>90873.593356733851</v>
      </c>
      <c r="AA15" s="219">
        <f>Y15*$C$14</f>
        <v>94054.169124219523</v>
      </c>
      <c r="AC15" s="219">
        <f>AA15*$C$14</f>
        <v>97346.0650435672</v>
      </c>
      <c r="AE15" s="219">
        <f>AC15*$C$14</f>
        <v>100753.17732009204</v>
      </c>
      <c r="AG15" s="219">
        <f>AE15*$C$14</f>
        <v>104279.53852629526</v>
      </c>
    </row>
    <row r="16" spans="1:34" s="210" customFormat="1" ht="14">
      <c r="A16" s="210" t="s">
        <v>344</v>
      </c>
      <c r="C16" s="233"/>
      <c r="E16" s="222">
        <f>Application!W849</f>
        <v>64800</v>
      </c>
      <c r="F16" s="222"/>
      <c r="G16" s="222">
        <f t="shared" ref="G16:AG21" si="0">E16*$C$14</f>
        <v>67068</v>
      </c>
      <c r="H16" s="222"/>
      <c r="I16" s="222">
        <f t="shared" si="0"/>
        <v>69415.37999999999</v>
      </c>
      <c r="J16" s="222"/>
      <c r="K16" s="222">
        <f t="shared" si="0"/>
        <v>71844.91829999999</v>
      </c>
      <c r="L16" s="222"/>
      <c r="M16" s="222">
        <f t="shared" si="0"/>
        <v>74359.490440499983</v>
      </c>
      <c r="N16" s="222"/>
      <c r="O16" s="222">
        <f t="shared" si="0"/>
        <v>76962.072605917478</v>
      </c>
      <c r="P16" s="222"/>
      <c r="Q16" s="222">
        <f t="shared" si="0"/>
        <v>79655.745147124588</v>
      </c>
      <c r="R16" s="222"/>
      <c r="S16" s="222">
        <f t="shared" si="0"/>
        <v>82443.696227273947</v>
      </c>
      <c r="T16" s="222"/>
      <c r="U16" s="222">
        <f t="shared" si="0"/>
        <v>85329.225595228534</v>
      </c>
      <c r="V16" s="222"/>
      <c r="W16" s="222">
        <f t="shared" si="0"/>
        <v>88315.748491061531</v>
      </c>
      <c r="X16" s="222"/>
      <c r="Y16" s="222">
        <f t="shared" si="0"/>
        <v>91406.799688248677</v>
      </c>
      <c r="Z16" s="222"/>
      <c r="AA16" s="222">
        <f t="shared" si="0"/>
        <v>94606.037677337372</v>
      </c>
      <c r="AB16" s="222"/>
      <c r="AC16" s="222">
        <f t="shared" si="0"/>
        <v>97917.248996044174</v>
      </c>
      <c r="AD16" s="222"/>
      <c r="AE16" s="222">
        <f t="shared" si="0"/>
        <v>101344.35271090572</v>
      </c>
      <c r="AF16" s="222"/>
      <c r="AG16" s="222">
        <f t="shared" si="0"/>
        <v>104891.40505578741</v>
      </c>
    </row>
    <row r="17" spans="1:33" s="210" customFormat="1" ht="14">
      <c r="A17" s="210" t="s">
        <v>562</v>
      </c>
      <c r="C17" s="233"/>
      <c r="E17" s="222">
        <f>Application!W855</f>
        <v>113443</v>
      </c>
      <c r="F17" s="222"/>
      <c r="G17" s="222">
        <f t="shared" si="0"/>
        <v>117413.50499999999</v>
      </c>
      <c r="H17" s="222"/>
      <c r="I17" s="222">
        <f t="shared" si="0"/>
        <v>121522.97767499999</v>
      </c>
      <c r="J17" s="222"/>
      <c r="K17" s="222">
        <f t="shared" si="0"/>
        <v>125776.28189362498</v>
      </c>
      <c r="L17" s="222"/>
      <c r="M17" s="222">
        <f t="shared" si="0"/>
        <v>130178.45175990184</v>
      </c>
      <c r="N17" s="222"/>
      <c r="O17" s="222">
        <f t="shared" si="0"/>
        <v>134734.6975714984</v>
      </c>
      <c r="P17" s="222"/>
      <c r="Q17" s="222">
        <f t="shared" si="0"/>
        <v>139450.41198650084</v>
      </c>
      <c r="R17" s="222"/>
      <c r="S17" s="222">
        <f t="shared" si="0"/>
        <v>144331.17640602836</v>
      </c>
      <c r="T17" s="222"/>
      <c r="U17" s="222">
        <f t="shared" si="0"/>
        <v>149382.76758023934</v>
      </c>
      <c r="V17" s="222"/>
      <c r="W17" s="222">
        <f t="shared" si="0"/>
        <v>154611.16444554771</v>
      </c>
      <c r="X17" s="222"/>
      <c r="Y17" s="222">
        <f t="shared" si="0"/>
        <v>160022.55520114186</v>
      </c>
      <c r="Z17" s="222"/>
      <c r="AA17" s="222">
        <f t="shared" si="0"/>
        <v>165623.34463318181</v>
      </c>
      <c r="AB17" s="222"/>
      <c r="AC17" s="222">
        <f t="shared" si="0"/>
        <v>171420.16169534315</v>
      </c>
      <c r="AD17" s="222"/>
      <c r="AE17" s="222">
        <f t="shared" si="0"/>
        <v>177419.86735468014</v>
      </c>
      <c r="AF17" s="222"/>
      <c r="AG17" s="222">
        <f t="shared" si="0"/>
        <v>183629.56271209393</v>
      </c>
    </row>
    <row r="18" spans="1:33" s="210" customFormat="1" ht="14">
      <c r="A18" s="210" t="s">
        <v>843</v>
      </c>
      <c r="C18" s="233"/>
      <c r="E18" s="222">
        <f>Application!W862</f>
        <v>226797</v>
      </c>
      <c r="F18" s="222"/>
      <c r="G18" s="222">
        <f t="shared" si="0"/>
        <v>234734.89499999999</v>
      </c>
      <c r="H18" s="222"/>
      <c r="I18" s="222">
        <f t="shared" si="0"/>
        <v>242950.61632499998</v>
      </c>
      <c r="J18" s="222"/>
      <c r="K18" s="222">
        <f t="shared" si="0"/>
        <v>251453.88789637497</v>
      </c>
      <c r="L18" s="222"/>
      <c r="M18" s="222">
        <f t="shared" si="0"/>
        <v>260254.77397274808</v>
      </c>
      <c r="N18" s="222"/>
      <c r="O18" s="222">
        <f t="shared" si="0"/>
        <v>269363.69106179423</v>
      </c>
      <c r="P18" s="222"/>
      <c r="Q18" s="222">
        <f t="shared" si="0"/>
        <v>278791.420248957</v>
      </c>
      <c r="R18" s="222"/>
      <c r="S18" s="222">
        <f t="shared" si="0"/>
        <v>288549.11995767045</v>
      </c>
      <c r="T18" s="222"/>
      <c r="U18" s="222">
        <f t="shared" si="0"/>
        <v>298648.33915618889</v>
      </c>
      <c r="V18" s="222"/>
      <c r="W18" s="222">
        <f t="shared" si="0"/>
        <v>309101.03102665546</v>
      </c>
      <c r="X18" s="222"/>
      <c r="Y18" s="222">
        <f t="shared" si="0"/>
        <v>319919.56711258838</v>
      </c>
      <c r="Z18" s="222"/>
      <c r="AA18" s="222">
        <f t="shared" si="0"/>
        <v>331116.75196152896</v>
      </c>
      <c r="AB18" s="222"/>
      <c r="AC18" s="222">
        <f t="shared" si="0"/>
        <v>342705.83828018245</v>
      </c>
      <c r="AD18" s="222"/>
      <c r="AE18" s="222">
        <f t="shared" si="0"/>
        <v>354700.54261998879</v>
      </c>
      <c r="AF18" s="222"/>
      <c r="AG18" s="222">
        <f t="shared" si="0"/>
        <v>367115.06161168835</v>
      </c>
    </row>
    <row r="19" spans="1:33" s="210" customFormat="1" ht="14">
      <c r="A19" s="210" t="s">
        <v>155</v>
      </c>
      <c r="C19" s="233"/>
      <c r="E19" s="222">
        <f>Application!W863</f>
        <v>0</v>
      </c>
      <c r="F19" s="222"/>
      <c r="G19" s="222">
        <f t="shared" si="0"/>
        <v>0</v>
      </c>
      <c r="H19" s="222"/>
      <c r="I19" s="222">
        <f t="shared" si="0"/>
        <v>0</v>
      </c>
      <c r="J19" s="222"/>
      <c r="K19" s="222">
        <f t="shared" si="0"/>
        <v>0</v>
      </c>
      <c r="L19" s="222"/>
      <c r="M19" s="222">
        <f t="shared" si="0"/>
        <v>0</v>
      </c>
      <c r="N19" s="222"/>
      <c r="O19" s="222">
        <f t="shared" si="0"/>
        <v>0</v>
      </c>
      <c r="P19" s="222"/>
      <c r="Q19" s="222">
        <f t="shared" si="0"/>
        <v>0</v>
      </c>
      <c r="R19" s="222"/>
      <c r="S19" s="222">
        <f t="shared" si="0"/>
        <v>0</v>
      </c>
      <c r="T19" s="222"/>
      <c r="U19" s="222">
        <f t="shared" si="0"/>
        <v>0</v>
      </c>
      <c r="V19" s="222"/>
      <c r="W19" s="222">
        <f t="shared" si="0"/>
        <v>0</v>
      </c>
      <c r="X19" s="222"/>
      <c r="Y19" s="222">
        <f t="shared" si="0"/>
        <v>0</v>
      </c>
      <c r="Z19" s="222"/>
      <c r="AA19" s="222">
        <f t="shared" si="0"/>
        <v>0</v>
      </c>
      <c r="AB19" s="222"/>
      <c r="AC19" s="222">
        <f t="shared" si="0"/>
        <v>0</v>
      </c>
      <c r="AD19" s="222"/>
      <c r="AE19" s="222">
        <f t="shared" si="0"/>
        <v>0</v>
      </c>
      <c r="AF19" s="222"/>
      <c r="AG19" s="222">
        <f t="shared" si="0"/>
        <v>0</v>
      </c>
    </row>
    <row r="20" spans="1:33" s="210" customFormat="1" ht="14">
      <c r="A20" s="210" t="s">
        <v>390</v>
      </c>
      <c r="C20" s="233"/>
      <c r="E20" s="222">
        <f>Application!W872</f>
        <v>81648</v>
      </c>
      <c r="F20" s="222"/>
      <c r="G20" s="222">
        <f t="shared" si="0"/>
        <v>84505.68</v>
      </c>
      <c r="H20" s="222"/>
      <c r="I20" s="222">
        <f t="shared" si="0"/>
        <v>87463.378799999991</v>
      </c>
      <c r="J20" s="222"/>
      <c r="K20" s="222">
        <f t="shared" si="0"/>
        <v>90524.597057999985</v>
      </c>
      <c r="L20" s="222"/>
      <c r="M20" s="222">
        <f t="shared" si="0"/>
        <v>93692.957955029982</v>
      </c>
      <c r="N20" s="222"/>
      <c r="O20" s="222">
        <f t="shared" si="0"/>
        <v>96972.21148345602</v>
      </c>
      <c r="P20" s="222"/>
      <c r="Q20" s="222">
        <f t="shared" si="0"/>
        <v>100366.23888537697</v>
      </c>
      <c r="R20" s="222"/>
      <c r="S20" s="222">
        <f t="shared" si="0"/>
        <v>103879.05724636515</v>
      </c>
      <c r="T20" s="222"/>
      <c r="U20" s="222">
        <f t="shared" si="0"/>
        <v>107514.82424998791</v>
      </c>
      <c r="V20" s="222"/>
      <c r="W20" s="222">
        <f t="shared" si="0"/>
        <v>111277.84309873747</v>
      </c>
      <c r="X20" s="222"/>
      <c r="Y20" s="222">
        <f t="shared" si="0"/>
        <v>115172.56760719328</v>
      </c>
      <c r="Z20" s="222"/>
      <c r="AA20" s="222">
        <f t="shared" si="0"/>
        <v>119203.60747344504</v>
      </c>
      <c r="AB20" s="222"/>
      <c r="AC20" s="222">
        <f t="shared" si="0"/>
        <v>123375.7337350156</v>
      </c>
      <c r="AD20" s="222"/>
      <c r="AE20" s="222">
        <f t="shared" si="0"/>
        <v>127693.88441574114</v>
      </c>
      <c r="AF20" s="222"/>
      <c r="AG20" s="222">
        <f t="shared" si="0"/>
        <v>132163.17037029206</v>
      </c>
    </row>
    <row r="21" spans="1:33" s="210" customFormat="1" ht="14">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844</v>
      </c>
      <c r="C22" s="233"/>
      <c r="E22" s="223">
        <f>SUM(E15:E21)</f>
        <v>551110</v>
      </c>
      <c r="G22" s="223">
        <f>SUM(G15:G21)</f>
        <v>570398.84999999986</v>
      </c>
      <c r="I22" s="223">
        <f>SUM(I15:I21)</f>
        <v>590362.8097499999</v>
      </c>
      <c r="K22" s="223">
        <f>SUM(K15:K21)</f>
        <v>611025.50809124997</v>
      </c>
      <c r="M22" s="223">
        <f>SUM(M15:M21)</f>
        <v>632411.40087444359</v>
      </c>
      <c r="O22" s="223">
        <f>SUM(O15:O21)</f>
        <v>654545.79990504892</v>
      </c>
      <c r="Q22" s="223">
        <f>SUM(Q15:Q21)</f>
        <v>677454.90290172573</v>
      </c>
      <c r="S22" s="223">
        <f>SUM(S15:S21)</f>
        <v>701165.82450328604</v>
      </c>
      <c r="U22" s="223">
        <f>SUM(U15:U21)</f>
        <v>725706.62836090103</v>
      </c>
      <c r="W22" s="223">
        <f>SUM(W15:W21)</f>
        <v>751106.36035353248</v>
      </c>
      <c r="Y22" s="223">
        <f>SUM(Y15:Y21)</f>
        <v>777395.08296590601</v>
      </c>
      <c r="AA22" s="223">
        <f>SUM(AA15:AA21)</f>
        <v>804603.91086971259</v>
      </c>
      <c r="AC22" s="223">
        <f>SUM(AC15:AC21)</f>
        <v>832765.04775015265</v>
      </c>
      <c r="AE22" s="223">
        <f>SUM(AE15:AE21)</f>
        <v>861911.82442140789</v>
      </c>
      <c r="AG22" s="223">
        <f>SUM(AG15:AG21)</f>
        <v>892078.73827615695</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846</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
      <c r="A28" s="210" t="s">
        <v>847</v>
      </c>
      <c r="C28" s="237"/>
      <c r="E28" s="222">
        <f>Application!AC889</f>
        <v>22500</v>
      </c>
      <c r="F28" s="222"/>
      <c r="G28" s="222">
        <f>$E$28</f>
        <v>22500</v>
      </c>
      <c r="H28" s="222"/>
      <c r="I28" s="222">
        <f>$E$28</f>
        <v>22500</v>
      </c>
      <c r="J28" s="222"/>
      <c r="K28" s="222">
        <f>$E$28</f>
        <v>22500</v>
      </c>
      <c r="L28" s="222"/>
      <c r="M28" s="222">
        <f>$E$28</f>
        <v>22500</v>
      </c>
      <c r="N28" s="222"/>
      <c r="O28" s="222">
        <f>$E$28</f>
        <v>22500</v>
      </c>
      <c r="P28" s="222"/>
      <c r="Q28" s="222">
        <f>$E$28</f>
        <v>22500</v>
      </c>
      <c r="R28" s="222"/>
      <c r="S28" s="222">
        <f>$E$28</f>
        <v>22500</v>
      </c>
      <c r="T28" s="222"/>
      <c r="U28" s="222">
        <f>$E$28</f>
        <v>22500</v>
      </c>
      <c r="V28" s="222"/>
      <c r="W28" s="222">
        <f>$E$28</f>
        <v>22500</v>
      </c>
      <c r="X28" s="222"/>
      <c r="Y28" s="222">
        <f>$E$28</f>
        <v>22500</v>
      </c>
      <c r="Z28" s="222"/>
      <c r="AA28" s="222">
        <f>$E$28</f>
        <v>22500</v>
      </c>
      <c r="AB28" s="222"/>
      <c r="AC28" s="222">
        <f>$E$28</f>
        <v>22500</v>
      </c>
      <c r="AD28" s="222"/>
      <c r="AE28" s="222">
        <f>$E$28</f>
        <v>22500</v>
      </c>
      <c r="AF28" s="222"/>
      <c r="AG28" s="222">
        <f>$E$28</f>
        <v>22500</v>
      </c>
    </row>
    <row r="29" spans="1:33" s="210" customFormat="1" ht="14">
      <c r="A29" s="210" t="s">
        <v>1681</v>
      </c>
      <c r="C29" s="237"/>
      <c r="E29" s="222">
        <f>Application!AC890</f>
        <v>21188</v>
      </c>
      <c r="F29" s="222"/>
      <c r="G29" s="222">
        <f>$E$29</f>
        <v>21188</v>
      </c>
      <c r="H29" s="222"/>
      <c r="I29" s="222">
        <f>$E$29</f>
        <v>21188</v>
      </c>
      <c r="J29" s="222"/>
      <c r="K29" s="222">
        <f>$E$29</f>
        <v>21188</v>
      </c>
      <c r="L29" s="222"/>
      <c r="M29" s="222">
        <f>$E$29</f>
        <v>21188</v>
      </c>
      <c r="N29" s="222"/>
      <c r="O29" s="222">
        <f>$E$29</f>
        <v>21188</v>
      </c>
      <c r="P29" s="222"/>
      <c r="Q29" s="222">
        <f>$E$29</f>
        <v>21188</v>
      </c>
      <c r="R29" s="222"/>
      <c r="S29" s="222">
        <f>$E$29</f>
        <v>21188</v>
      </c>
      <c r="T29" s="222"/>
      <c r="U29" s="222">
        <f>$E$29</f>
        <v>21188</v>
      </c>
      <c r="V29" s="222"/>
      <c r="W29" s="222">
        <f>$E$29</f>
        <v>21188</v>
      </c>
      <c r="X29" s="222"/>
      <c r="Y29" s="222">
        <f>$E$29</f>
        <v>21188</v>
      </c>
      <c r="Z29" s="222"/>
      <c r="AA29" s="222">
        <f>$E$29</f>
        <v>21188</v>
      </c>
      <c r="AB29" s="222"/>
      <c r="AC29" s="222">
        <f>$E$29</f>
        <v>21188</v>
      </c>
      <c r="AD29" s="222"/>
      <c r="AE29" s="222">
        <f>$E$29</f>
        <v>21188</v>
      </c>
      <c r="AF29" s="222"/>
      <c r="AG29" s="222">
        <f>$E$29</f>
        <v>21188</v>
      </c>
    </row>
    <row r="30" spans="1:33" s="210" customFormat="1" ht="14">
      <c r="A30" s="210" t="s">
        <v>845</v>
      </c>
      <c r="C30" s="237">
        <v>1.02</v>
      </c>
      <c r="E30" s="222">
        <f>Application!AC891</f>
        <v>6750</v>
      </c>
      <c r="F30" s="222"/>
      <c r="G30" s="222">
        <f>E30*$C$30</f>
        <v>6885</v>
      </c>
      <c r="H30" s="222"/>
      <c r="I30" s="222">
        <f>G30*$C$30</f>
        <v>7022.7</v>
      </c>
      <c r="J30" s="222"/>
      <c r="K30" s="222">
        <f>I30*$C$30</f>
        <v>7163.1539999999995</v>
      </c>
      <c r="L30" s="222"/>
      <c r="M30" s="222">
        <f>K30*$C$30</f>
        <v>7306.4170799999993</v>
      </c>
      <c r="N30" s="222"/>
      <c r="O30" s="222">
        <f>M30*$C$30</f>
        <v>7452.5454215999998</v>
      </c>
      <c r="P30" s="222"/>
      <c r="Q30" s="222">
        <f>O30*$C$30</f>
        <v>7601.596330032</v>
      </c>
      <c r="R30" s="222"/>
      <c r="S30" s="222">
        <f>Q30*$C$30</f>
        <v>7753.6282566326399</v>
      </c>
      <c r="T30" s="222"/>
      <c r="U30" s="222">
        <f>S30*$C$30</f>
        <v>7908.7008217652929</v>
      </c>
      <c r="V30" s="222"/>
      <c r="W30" s="222">
        <f>U30*$C$30</f>
        <v>8066.8748382005988</v>
      </c>
      <c r="X30" s="222"/>
      <c r="Y30" s="222">
        <f>W30*$C$30</f>
        <v>8228.2123349646117</v>
      </c>
      <c r="Z30" s="222"/>
      <c r="AA30" s="222">
        <f>Y30*$C$30</f>
        <v>8392.7765816639039</v>
      </c>
      <c r="AB30" s="222"/>
      <c r="AC30" s="222">
        <f>AA30*$C$30</f>
        <v>8560.6321132971825</v>
      </c>
      <c r="AD30" s="222"/>
      <c r="AE30" s="222">
        <f>AC30*$C$30</f>
        <v>8731.8447555631265</v>
      </c>
      <c r="AF30" s="222"/>
      <c r="AG30" s="222">
        <f>AE30*$C$30</f>
        <v>8906.48165067439</v>
      </c>
    </row>
    <row r="31" spans="1:33" s="210" customFormat="1" ht="14">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178</v>
      </c>
      <c r="C35" s="224"/>
      <c r="E35" s="223">
        <f>SUM(E22:E33)</f>
        <v>626548</v>
      </c>
      <c r="G35" s="223">
        <f>SUM(G22:G33)</f>
        <v>646846.84999999986</v>
      </c>
      <c r="I35" s="223">
        <f>SUM(I22:I33)</f>
        <v>667854.13474999985</v>
      </c>
      <c r="K35" s="223">
        <f>SUM(K22:K33)</f>
        <v>689594.60896624997</v>
      </c>
      <c r="M35" s="223">
        <f>SUM(M22:M33)</f>
        <v>712093.89297006861</v>
      </c>
      <c r="O35" s="223">
        <f>SUM(O22:O33)</f>
        <v>735378.50296782074</v>
      </c>
      <c r="Q35" s="223">
        <f>SUM(Q22:Q33)</f>
        <v>759475.88239037059</v>
      </c>
      <c r="S35" s="223">
        <f>SUM(S22:S33)</f>
        <v>784414.43432908296</v>
      </c>
      <c r="U35" s="223">
        <f>SUM(U22:U33)</f>
        <v>810223.5551067515</v>
      </c>
      <c r="W35" s="223">
        <f>SUM(W22:W33)</f>
        <v>836933.66902316117</v>
      </c>
      <c r="Y35" s="223">
        <f>SUM(Y22:Y33)</f>
        <v>864576.26431639865</v>
      </c>
      <c r="AA35" s="223">
        <f>SUM(AA22:AA33)</f>
        <v>893183.93038244802</v>
      </c>
      <c r="AC35" s="223">
        <f>SUM(AC22:AC33)</f>
        <v>922790.39629710885</v>
      </c>
      <c r="AE35" s="223">
        <f>SUM(AE22:AE33)</f>
        <v>953430.57068580796</v>
      </c>
      <c r="AG35" s="223">
        <f>SUM(AG22:AG33)</f>
        <v>985140.58298847766</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848</v>
      </c>
      <c r="C37" s="224"/>
      <c r="E37" s="223">
        <f>E11-E35</f>
        <v>1280489.6000000001</v>
      </c>
      <c r="G37" s="223">
        <f>G11-G35</f>
        <v>1307866.69</v>
      </c>
      <c r="I37" s="223">
        <f>I11-I35</f>
        <v>1335727.2437499994</v>
      </c>
      <c r="K37" s="223">
        <f>K11-K35</f>
        <v>1364076.3039962491</v>
      </c>
      <c r="M37" s="223">
        <f>M11-M35</f>
        <v>1392918.7928164934</v>
      </c>
      <c r="O37" s="223">
        <f>O11-O35</f>
        <v>1422259.4999634048</v>
      </c>
      <c r="Q37" s="223">
        <f>Q11-Q35</f>
        <v>1452103.0706141354</v>
      </c>
      <c r="S37" s="223">
        <f>S11-S35</f>
        <v>1482453.9925005359</v>
      </c>
      <c r="U37" s="223">
        <f>U11-U35</f>
        <v>1513316.5823936071</v>
      </c>
      <c r="W37" s="223">
        <f>W11-W35</f>
        <v>1544694.9719147063</v>
      </c>
      <c r="Y37" s="223">
        <f>Y11-Y35</f>
        <v>1576593.0926449155</v>
      </c>
      <c r="AA37" s="223">
        <f>AA11-AA35</f>
        <v>1609014.6605028987</v>
      </c>
      <c r="AC37" s="223">
        <f>AC11-AC35</f>
        <v>1641963.1593603711</v>
      </c>
      <c r="AE37" s="223">
        <f>AE11-AE35</f>
        <v>1675441.8238631091</v>
      </c>
      <c r="AG37" s="223">
        <f>AG11-AG35</f>
        <v>1709453.6214241618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1113397</v>
      </c>
      <c r="F40" s="222"/>
      <c r="G40" s="222">
        <f>$E$40</f>
        <v>1113397</v>
      </c>
      <c r="H40" s="222"/>
      <c r="I40" s="222">
        <f>$E$40</f>
        <v>1113397</v>
      </c>
      <c r="J40" s="222"/>
      <c r="K40" s="222">
        <f>$E$40</f>
        <v>1113397</v>
      </c>
      <c r="L40" s="222"/>
      <c r="M40" s="222">
        <f>$E$40</f>
        <v>1113397</v>
      </c>
      <c r="N40" s="222"/>
      <c r="O40" s="222">
        <f>$E$40</f>
        <v>1113397</v>
      </c>
      <c r="P40" s="222"/>
      <c r="Q40" s="222">
        <f>$E$40</f>
        <v>1113397</v>
      </c>
      <c r="R40" s="222"/>
      <c r="S40" s="222">
        <f>$E$40</f>
        <v>1113397</v>
      </c>
      <c r="T40" s="222"/>
      <c r="U40" s="222">
        <f>$E$40</f>
        <v>1113397</v>
      </c>
      <c r="V40" s="222"/>
      <c r="W40" s="222">
        <f>$E$40</f>
        <v>1113397</v>
      </c>
      <c r="X40" s="222"/>
      <c r="Y40" s="222">
        <f>$E$40</f>
        <v>1113397</v>
      </c>
      <c r="Z40" s="222"/>
      <c r="AA40" s="222">
        <f>$E$40</f>
        <v>1113397</v>
      </c>
      <c r="AB40" s="222"/>
      <c r="AC40" s="222">
        <f>$E$40</f>
        <v>1113397</v>
      </c>
      <c r="AD40" s="222"/>
      <c r="AE40" s="222">
        <f>$E$40</f>
        <v>1113397</v>
      </c>
      <c r="AF40" s="222"/>
      <c r="AG40" s="222">
        <f>$E$40</f>
        <v>1113397</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849</v>
      </c>
      <c r="C43" s="224"/>
      <c r="E43" s="223">
        <f>SUM(E40:E42)</f>
        <v>1113397</v>
      </c>
      <c r="G43" s="223">
        <f>SUM(G40:G42)</f>
        <v>1113397</v>
      </c>
      <c r="I43" s="223">
        <f>SUM(I40:I42)</f>
        <v>1113397</v>
      </c>
      <c r="K43" s="223">
        <f>SUM(K40:K42)</f>
        <v>1113397</v>
      </c>
      <c r="M43" s="223">
        <f>SUM(M40:M42)</f>
        <v>1113397</v>
      </c>
      <c r="O43" s="223">
        <f>SUM(O40:O42)</f>
        <v>1113397</v>
      </c>
      <c r="Q43" s="223">
        <f>SUM(Q40:Q42)</f>
        <v>1113397</v>
      </c>
      <c r="S43" s="223">
        <f>SUM(S40:S42)</f>
        <v>1113397</v>
      </c>
      <c r="U43" s="223">
        <f>SUM(U40:U42)</f>
        <v>1113397</v>
      </c>
      <c r="W43" s="223">
        <f>SUM(W40:W42)</f>
        <v>1113397</v>
      </c>
      <c r="Y43" s="223">
        <f>SUM(Y40:Y42)</f>
        <v>1113397</v>
      </c>
      <c r="AA43" s="223">
        <f>SUM(AA40:AA42)</f>
        <v>1113397</v>
      </c>
      <c r="AC43" s="223">
        <f>SUM(AC40:AC42)</f>
        <v>1113397</v>
      </c>
      <c r="AE43" s="223">
        <f>SUM(AE40:AE42)</f>
        <v>1113397</v>
      </c>
      <c r="AG43" s="223">
        <f>SUM(AG40:AG42)</f>
        <v>1113397</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850</v>
      </c>
      <c r="C45" s="224"/>
      <c r="E45" s="223">
        <f>E37-E43</f>
        <v>167092.60000000009</v>
      </c>
      <c r="G45" s="223">
        <f>G37-G43</f>
        <v>194469.68999999994</v>
      </c>
      <c r="I45" s="223">
        <f>I37-I43</f>
        <v>222330.24374999944</v>
      </c>
      <c r="K45" s="223">
        <f>K37-K43</f>
        <v>250679.3039962491</v>
      </c>
      <c r="M45" s="223">
        <f>M37-M43</f>
        <v>279521.79281649343</v>
      </c>
      <c r="O45" s="223">
        <f>O37-O43</f>
        <v>308862.49996340484</v>
      </c>
      <c r="Q45" s="223">
        <f>Q37-Q43</f>
        <v>338706.07061413536</v>
      </c>
      <c r="S45" s="223">
        <f>S37-S43</f>
        <v>369056.99250053591</v>
      </c>
      <c r="U45" s="223">
        <f>U37-U43</f>
        <v>399919.58239360712</v>
      </c>
      <c r="W45" s="223">
        <f>W37-W43</f>
        <v>431297.97191470629</v>
      </c>
      <c r="Y45" s="223">
        <f>Y37-Y43</f>
        <v>463196.09264491545</v>
      </c>
      <c r="AA45" s="223">
        <f>AA37-AA43</f>
        <v>495617.66050289874</v>
      </c>
      <c r="AC45" s="223">
        <f>AC37-AC43</f>
        <v>528566.15936037106</v>
      </c>
      <c r="AE45" s="223">
        <f>AE37-AE43</f>
        <v>562044.82386310911</v>
      </c>
      <c r="AG45" s="223">
        <f>AG37-AG43</f>
        <v>596056.62142416183</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852</v>
      </c>
      <c r="C47" s="220"/>
      <c r="E47" s="227">
        <f>E45/(E4+E6+E8)</f>
        <v>8.323798649801141E-2</v>
      </c>
      <c r="G47" s="227">
        <f>G45/(G4+G6+G8)</f>
        <v>9.4513186571573024E-2</v>
      </c>
      <c r="I47" s="227">
        <f>I45/(I4+I6+I8)</f>
        <v>0.10541809473225723</v>
      </c>
      <c r="K47" s="227">
        <f>K45/(K4+K6+K8)</f>
        <v>0.11596080817685772</v>
      </c>
      <c r="M47" s="227">
        <f>M45/(M4+M6+M8)</f>
        <v>0.12614921751715932</v>
      </c>
      <c r="O47" s="227">
        <f>O45/(O4+O6+O8)</f>
        <v>0.13599101172977776</v>
      </c>
      <c r="Q47" s="227">
        <f>Q45/(Q4+Q6+Q8)</f>
        <v>0.1454936829844089</v>
      </c>
      <c r="S47" s="227">
        <f>S45/(S4+S6+S8)</f>
        <v>0.15466453135343838</v>
      </c>
      <c r="U47" s="227">
        <f>U45/(U4+U6+U8)</f>
        <v>0.16351066940579934</v>
      </c>
      <c r="W47" s="227">
        <f>W45/(W4+W6+W8)</f>
        <v>0.17203902668789753</v>
      </c>
      <c r="Y47" s="227">
        <f>Y45/(Y4+Y6+Y8)</f>
        <v>0.18025635409433949</v>
      </c>
      <c r="AA47" s="227">
        <f>AA45/(AA4+AA6+AA8)</f>
        <v>0.18816922813115278</v>
      </c>
      <c r="AC47" s="227">
        <f>AC45/(AC4+AC6+AC8)</f>
        <v>0.19578405507410571</v>
      </c>
      <c r="AE47" s="227">
        <f>AE45/(AE4+AE6+AE8)</f>
        <v>0.2031070750246787</v>
      </c>
      <c r="AG47" s="227">
        <f>AG45/(AG4+AG6+AG8)</f>
        <v>0.210144365866171</v>
      </c>
    </row>
    <row r="48" spans="1:33" s="227" customFormat="1" ht="14">
      <c r="A48" s="227" t="s">
        <v>853</v>
      </c>
      <c r="C48" s="220"/>
      <c r="E48" s="227">
        <f>E45/E43</f>
        <v>0.15007459154281905</v>
      </c>
      <c r="G48" s="227">
        <f>G45/G43</f>
        <v>0.17466338601594933</v>
      </c>
      <c r="I48" s="227">
        <f>I45/I43</f>
        <v>0.19968640453494974</v>
      </c>
      <c r="K48" s="227">
        <f>K45/K43</f>
        <v>0.22514817625361763</v>
      </c>
      <c r="M48" s="227">
        <f>M45/M43</f>
        <v>0.25105312194706242</v>
      </c>
      <c r="O48" s="227">
        <f>O45/O43</f>
        <v>0.27740554354233471</v>
      </c>
      <c r="Q48" s="227">
        <f>Q45/Q43</f>
        <v>0.30420961311565897</v>
      </c>
      <c r="S48" s="227">
        <f>S45/S43</f>
        <v>0.33146936133341109</v>
      </c>
      <c r="U48" s="227">
        <f>U45/U43</f>
        <v>0.35918866531309779</v>
      </c>
      <c r="W48" s="227">
        <f>W45/W43</f>
        <v>0.38737123587966044</v>
      </c>
      <c r="Y48" s="227">
        <f>Y45/Y43</f>
        <v>0.4160206041914209</v>
      </c>
      <c r="AA48" s="227">
        <f>AA45/AA43</f>
        <v>0.44514010770901913</v>
      </c>
      <c r="AC48" s="227">
        <f>AC45/AC43</f>
        <v>0.47473287547960974</v>
      </c>
      <c r="AE48" s="227">
        <f>AE45/AE43</f>
        <v>0.50480181270751501</v>
      </c>
      <c r="AG48" s="227">
        <f>AG45/AG43</f>
        <v>0.53534958458138637</v>
      </c>
    </row>
    <row r="49" spans="1:34" s="228" customFormat="1" ht="14">
      <c r="A49" s="228" t="s">
        <v>851</v>
      </c>
      <c r="C49" s="229"/>
      <c r="E49" s="228">
        <f>E37/E43</f>
        <v>1.150074591542819</v>
      </c>
      <c r="G49" s="228">
        <f>G37/G43</f>
        <v>1.1746633860159494</v>
      </c>
      <c r="I49" s="228">
        <f>I37/I43</f>
        <v>1.1996864045349498</v>
      </c>
      <c r="K49" s="228">
        <f>K37/K43</f>
        <v>1.2251481762536176</v>
      </c>
      <c r="M49" s="228">
        <f>M37/M43</f>
        <v>1.2510531219470624</v>
      </c>
      <c r="O49" s="228">
        <f>O37/O43</f>
        <v>1.2774055435423348</v>
      </c>
      <c r="Q49" s="228">
        <f>Q37/Q43</f>
        <v>1.3042096131156591</v>
      </c>
      <c r="S49" s="228">
        <f>S37/S43</f>
        <v>1.331469361333411</v>
      </c>
      <c r="U49" s="228">
        <f>U37/U43</f>
        <v>1.3591886653130978</v>
      </c>
      <c r="W49" s="228">
        <f>W37/W43</f>
        <v>1.3873712358796604</v>
      </c>
      <c r="Y49" s="228">
        <f>Y37/Y43</f>
        <v>1.416020604191421</v>
      </c>
      <c r="AA49" s="228">
        <f>AA37/AA43</f>
        <v>1.4451401077090191</v>
      </c>
      <c r="AC49" s="228">
        <f>AC37/AC43</f>
        <v>1.4747328754796099</v>
      </c>
      <c r="AE49" s="228">
        <f>AE37/AE43</f>
        <v>1.5048018127075151</v>
      </c>
      <c r="AG49" s="228">
        <f>AG37/AG43</f>
        <v>1.5353495845813863</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1185</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167092.60000000009</v>
      </c>
      <c r="G60" s="962">
        <f>G45-G58</f>
        <v>194469.68999999994</v>
      </c>
      <c r="I60" s="962">
        <f>I45-I58</f>
        <v>222330.24374999944</v>
      </c>
      <c r="K60" s="962">
        <f>K45-K58</f>
        <v>250679.3039962491</v>
      </c>
      <c r="M60" s="962">
        <f>M45-M58</f>
        <v>279521.79281649343</v>
      </c>
      <c r="O60" s="962">
        <f>O45-O58</f>
        <v>308862.49996340484</v>
      </c>
      <c r="Q60" s="962">
        <f>Q45-Q58</f>
        <v>338706.07061413536</v>
      </c>
      <c r="S60" s="962">
        <f>S45-S58</f>
        <v>369056.99250053591</v>
      </c>
      <c r="U60" s="962">
        <f>U45-U58</f>
        <v>399919.58239360712</v>
      </c>
      <c r="W60" s="962">
        <f>W45-W58</f>
        <v>431297.97191470629</v>
      </c>
      <c r="Y60" s="962">
        <f>Y45-Y58</f>
        <v>463196.09264491545</v>
      </c>
      <c r="AA60" s="962">
        <f>AA45-AA58</f>
        <v>495617.66050289874</v>
      </c>
      <c r="AC60" s="962">
        <f>AC45-AC58</f>
        <v>528566.15936037106</v>
      </c>
      <c r="AE60" s="962">
        <f>AE45-AE58</f>
        <v>562044.82386310911</v>
      </c>
      <c r="AG60" s="962">
        <f>AG45-AG58</f>
        <v>596056.62142416183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row>
    <row r="63" spans="1:34" s="962" customFormat="1">
      <c r="A63" s="2694" t="s">
        <v>1185</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c r="G66" s="960"/>
      <c r="I66" s="960"/>
      <c r="K66" s="960"/>
      <c r="M66" s="960"/>
      <c r="O66" s="960"/>
      <c r="Q66" s="960"/>
      <c r="S66" s="960"/>
      <c r="U66" s="960"/>
      <c r="W66" s="960"/>
      <c r="Y66" s="960"/>
      <c r="AA66" s="960"/>
      <c r="AC66" s="960"/>
      <c r="AE66" s="960"/>
      <c r="AG66" s="960"/>
    </row>
    <row r="67" spans="1:34" s="960" customFormat="1">
      <c r="A67" s="965"/>
      <c r="B67" s="965"/>
      <c r="C67" s="970"/>
      <c r="E67" s="964"/>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167092.60000000009</v>
      </c>
      <c r="G72" s="962">
        <f>G60-G62-G70</f>
        <v>194469.68999999994</v>
      </c>
      <c r="I72" s="962">
        <f>I60-I62-I70</f>
        <v>222330.24374999944</v>
      </c>
      <c r="K72" s="962">
        <f>K60-K62-K70</f>
        <v>250679.3039962491</v>
      </c>
      <c r="M72" s="962">
        <f>M60-M62-M70</f>
        <v>279521.79281649343</v>
      </c>
      <c r="O72" s="962">
        <f>O60-O62-O70</f>
        <v>308862.49996340484</v>
      </c>
      <c r="Q72" s="962">
        <f>Q60-Q62-Q70</f>
        <v>338706.07061413536</v>
      </c>
      <c r="S72" s="962">
        <f>S60-S62-S70</f>
        <v>369056.99250053591</v>
      </c>
      <c r="U72" s="962">
        <f>U60-U62-U70</f>
        <v>399919.58239360712</v>
      </c>
      <c r="W72" s="962">
        <f>W60-W62-W70</f>
        <v>431297.97191470629</v>
      </c>
      <c r="Y72" s="962">
        <f>Y60-Y62-Y70</f>
        <v>463196.09264491545</v>
      </c>
      <c r="AA72" s="962">
        <f>AA60-AA62-AA70</f>
        <v>495617.66050289874</v>
      </c>
      <c r="AC72" s="962">
        <f>AC60-AC62-AC70</f>
        <v>528566.15936037106</v>
      </c>
      <c r="AE72" s="962">
        <f>AE60-AE62-AE70</f>
        <v>562044.82386310911</v>
      </c>
      <c r="AG72" s="962">
        <f>AG60-AG62-AG70</f>
        <v>596056.62142416183</v>
      </c>
    </row>
    <row r="73" spans="1:34" s="960" customFormat="1" ht="13">
      <c r="A73" s="529"/>
      <c r="C73" s="970"/>
    </row>
    <row r="74" spans="1:34" s="217" customFormat="1" ht="13">
      <c r="A74" s="529"/>
      <c r="C74" s="183"/>
    </row>
    <row r="75" spans="1:34" s="217" customFormat="1">
      <c r="A75" s="960" t="s">
        <v>1723</v>
      </c>
      <c r="C75" s="183"/>
    </row>
    <row r="76" spans="1:34" s="217" customFormat="1">
      <c r="C76" s="183"/>
    </row>
    <row r="77" spans="1:34" s="234" customFormat="1" ht="30" customHeight="1">
      <c r="A77" s="2692" t="s">
        <v>1722</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972</v>
      </c>
    </row>
    <row r="2" spans="1:1" ht="15.5">
      <c r="A2" s="314"/>
    </row>
    <row r="3" spans="1:1" ht="15.5">
      <c r="A3" s="315" t="s">
        <v>967</v>
      </c>
    </row>
    <row r="4" spans="1:1" ht="15.5">
      <c r="A4" s="315" t="s">
        <v>968</v>
      </c>
    </row>
    <row r="5" spans="1:1" ht="15.5">
      <c r="A5" s="315" t="s">
        <v>969</v>
      </c>
    </row>
    <row r="6" spans="1:1" ht="15.5">
      <c r="A6" s="315" t="s">
        <v>971</v>
      </c>
    </row>
    <row r="7" spans="1:1" ht="15.5">
      <c r="A7" s="315" t="s">
        <v>970</v>
      </c>
    </row>
    <row r="8" spans="1:1" ht="15.5">
      <c r="A8" s="346" t="s">
        <v>1025</v>
      </c>
    </row>
    <row r="9" spans="1:1" ht="15.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1218</v>
      </c>
      <c r="D1" s="280"/>
    </row>
    <row r="2" spans="1:6" s="275" customFormat="1" ht="13">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ht="13">
      <c r="A4" s="264" t="s">
        <v>26</v>
      </c>
      <c r="B4" s="264"/>
      <c r="C4" s="264"/>
      <c r="D4" s="264"/>
      <c r="E4" s="282"/>
      <c r="F4" s="264"/>
    </row>
    <row r="5" spans="1:6" s="352" customFormat="1">
      <c r="A5" s="364" t="s">
        <v>27</v>
      </c>
      <c r="B5" s="266">
        <f>'Sources and Uses Budget'!$C4</f>
        <v>1</v>
      </c>
      <c r="C5" s="266">
        <f>'Sources and Uses Budget'!$C4</f>
        <v>1</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v>
      </c>
      <c r="C9" s="270">
        <f>SUM(C5:C8)</f>
        <v>1</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v>
      </c>
      <c r="C13" s="270">
        <f>SUM(C9+C12)</f>
        <v>1</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3">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ht="13">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599</v>
      </c>
      <c r="B30" s="266">
        <f>'Sources and Uses Budget'!$C29</f>
        <v>1600000</v>
      </c>
      <c r="C30" s="266">
        <f>'Sources and Uses Budget'!$C29</f>
        <v>1600000</v>
      </c>
      <c r="D30" s="270">
        <f t="shared" si="0"/>
        <v>0</v>
      </c>
      <c r="E30" s="268"/>
      <c r="F30" s="267"/>
    </row>
    <row r="31" spans="1:6" s="352" customFormat="1">
      <c r="A31" s="145" t="s">
        <v>600</v>
      </c>
      <c r="B31" s="266">
        <f>'Sources and Uses Budget'!$C30</f>
        <v>24112000</v>
      </c>
      <c r="C31" s="266">
        <f>'Sources and Uses Budget'!$C30</f>
        <v>24112000</v>
      </c>
      <c r="D31" s="270">
        <f t="shared" si="0"/>
        <v>0</v>
      </c>
      <c r="E31" s="268"/>
      <c r="F31" s="267"/>
    </row>
    <row r="32" spans="1:6" s="352" customFormat="1">
      <c r="A32" s="145" t="s">
        <v>601</v>
      </c>
      <c r="B32" s="266">
        <f>'Sources and Uses Budget'!$C31</f>
        <v>1008480</v>
      </c>
      <c r="C32" s="266">
        <f>'Sources and Uses Budget'!$C31</f>
        <v>1008480</v>
      </c>
      <c r="D32" s="270">
        <f t="shared" si="0"/>
        <v>0</v>
      </c>
      <c r="E32" s="268"/>
      <c r="F32" s="267"/>
    </row>
    <row r="33" spans="1:6" s="352" customFormat="1">
      <c r="A33" s="145" t="s">
        <v>137</v>
      </c>
      <c r="B33" s="266">
        <f>'Sources and Uses Budget'!$C32</f>
        <v>756360</v>
      </c>
      <c r="C33" s="266">
        <f>'Sources and Uses Budget'!$C32</f>
        <v>756360</v>
      </c>
      <c r="D33" s="270">
        <f t="shared" si="0"/>
        <v>0</v>
      </c>
      <c r="E33" s="268"/>
      <c r="F33" s="267"/>
    </row>
    <row r="34" spans="1:6" s="352" customFormat="1">
      <c r="A34" s="145" t="s">
        <v>138</v>
      </c>
      <c r="B34" s="266">
        <f>'Sources and Uses Budget'!$C33</f>
        <v>1264840</v>
      </c>
      <c r="C34" s="266">
        <f>'Sources and Uses Budget'!$C33</f>
        <v>1264840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28741680</v>
      </c>
      <c r="C39" s="270">
        <f>SUM(C30:C38)</f>
        <v>28741680</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925000</v>
      </c>
      <c r="C41" s="266">
        <f>'Sources and Uses Budget'!$C40</f>
        <v>925000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ht="13">
      <c r="A43" s="271" t="s">
        <v>147</v>
      </c>
      <c r="B43" s="270">
        <f>SUM(B41:B42)</f>
        <v>925000</v>
      </c>
      <c r="C43" s="270">
        <f>SUM(C41:C42)</f>
        <v>925000</v>
      </c>
      <c r="D43" s="270">
        <f t="shared" si="0"/>
        <v>0</v>
      </c>
      <c r="E43" s="268"/>
      <c r="F43" s="267"/>
    </row>
    <row r="44" spans="1:6" s="352" customFormat="1" ht="13">
      <c r="A44" s="271" t="s">
        <v>148</v>
      </c>
      <c r="B44" s="266">
        <f>'Sources and Uses Budget'!$C43</f>
        <v>1200000</v>
      </c>
      <c r="C44" s="266">
        <f>'Sources and Uses Budget'!$C43</f>
        <v>1200000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3746884</v>
      </c>
      <c r="C46" s="266">
        <f>'Sources and Uses Budget'!$C45</f>
        <v>3746884</v>
      </c>
      <c r="D46" s="270">
        <f t="shared" si="0"/>
        <v>0</v>
      </c>
      <c r="E46" s="268"/>
      <c r="F46" s="267"/>
    </row>
    <row r="47" spans="1:6" s="352" customFormat="1">
      <c r="A47" s="145" t="s">
        <v>151</v>
      </c>
      <c r="B47" s="266">
        <f>'Sources and Uses Budget'!$C46</f>
        <v>375000</v>
      </c>
      <c r="C47" s="266">
        <f>'Sources and Uses Budget'!$C46</f>
        <v>375000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129425</v>
      </c>
      <c r="C50" s="266">
        <f>'Sources and Uses Budget'!$C49</f>
        <v>129425</v>
      </c>
      <c r="D50" s="270">
        <f t="shared" si="0"/>
        <v>0</v>
      </c>
      <c r="E50" s="268"/>
      <c r="F50" s="267"/>
    </row>
    <row r="51" spans="1:6" s="352" customFormat="1">
      <c r="A51" s="145" t="s">
        <v>156</v>
      </c>
      <c r="B51" s="266">
        <f>'Sources and Uses Budget'!$C50</f>
        <v>152500</v>
      </c>
      <c r="C51" s="266">
        <f>'Sources and Uses Budget'!$C50</f>
        <v>152500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860000</v>
      </c>
      <c r="C53" s="266">
        <f>'Sources and Uses Budget'!$C52</f>
        <v>860000</v>
      </c>
      <c r="D53" s="270">
        <f t="shared" si="0"/>
        <v>0</v>
      </c>
      <c r="E53" s="268"/>
      <c r="F53" s="267"/>
    </row>
    <row r="54" spans="1:6" s="352" customFormat="1">
      <c r="A54" s="155" t="str">
        <f>'Sources and Uses Budget'!A53</f>
        <v>Other: Security, Lender reports</v>
      </c>
      <c r="B54" s="266">
        <f>'Sources and Uses Budget'!$C53</f>
        <v>340000</v>
      </c>
      <c r="C54" s="266">
        <f>'Sources and Uses Budget'!$C53</f>
        <v>340000</v>
      </c>
      <c r="D54" s="270">
        <f t="shared" si="0"/>
        <v>0</v>
      </c>
      <c r="E54" s="268"/>
      <c r="F54" s="267"/>
    </row>
    <row r="55" spans="1:6" s="353" customFormat="1" ht="13">
      <c r="A55" s="271" t="s">
        <v>157</v>
      </c>
      <c r="B55" s="273">
        <f>SUM(B46:B54)</f>
        <v>5603809</v>
      </c>
      <c r="C55" s="273">
        <f>SUM(C46:C54)</f>
        <v>5603809</v>
      </c>
      <c r="D55" s="270">
        <f t="shared" si="0"/>
        <v>0</v>
      </c>
      <c r="E55" s="268"/>
      <c r="F55" s="267"/>
    </row>
    <row r="56" spans="1:6" s="352" customFormat="1" ht="13">
      <c r="A56" s="264" t="s">
        <v>418</v>
      </c>
      <c r="B56" s="264"/>
      <c r="C56" s="264"/>
      <c r="D56" s="264"/>
      <c r="E56" s="282"/>
      <c r="F56" s="264"/>
    </row>
    <row r="57" spans="1:6" s="352" customFormat="1">
      <c r="A57" s="269" t="s">
        <v>158</v>
      </c>
      <c r="B57" s="266">
        <f>'Sources and Uses Budget'!$C56</f>
        <v>127125</v>
      </c>
      <c r="C57" s="266">
        <f>'Sources and Uses Budget'!$C56</f>
        <v>127125</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301</v>
      </c>
      <c r="B63" s="270">
        <f>SUM(B57:B62)</f>
        <v>132125</v>
      </c>
      <c r="C63" s="270">
        <f>SUM(C57:C62)</f>
        <v>132125</v>
      </c>
      <c r="D63" s="270">
        <f t="shared" si="0"/>
        <v>0</v>
      </c>
      <c r="E63" s="268"/>
      <c r="F63" s="267"/>
    </row>
    <row r="64" spans="1:6" s="352" customFormat="1" ht="13">
      <c r="A64" s="274" t="s">
        <v>302</v>
      </c>
      <c r="B64" s="270">
        <f>SUM(B9+B12+B14+B15+B17+B26+B28+B39+B43+B44+B55+B63)</f>
        <v>36602615</v>
      </c>
      <c r="C64" s="270">
        <f>SUM(C9+C12+C14+C15+C17+C26+C28+C39+C43+C44+C55+C63)</f>
        <v>36602615</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90000</v>
      </c>
      <c r="C66" s="266">
        <f>'Sources and Uses Budget'!$C65</f>
        <v>90000</v>
      </c>
      <c r="D66" s="270">
        <f t="shared" si="0"/>
        <v>0</v>
      </c>
      <c r="E66" s="268"/>
      <c r="F66" s="267"/>
    </row>
    <row r="67" spans="1:6" s="352" customFormat="1" ht="23">
      <c r="A67" s="283" t="s">
        <v>1642</v>
      </c>
      <c r="B67" s="266">
        <f>'Sources and Uses Budget'!$C66</f>
        <v>367000</v>
      </c>
      <c r="C67" s="266">
        <f>'Sources and Uses Budget'!$C66</f>
        <v>367000</v>
      </c>
      <c r="D67" s="270"/>
      <c r="E67" s="268"/>
      <c r="F67" s="267"/>
    </row>
    <row r="68" spans="1:6" s="352" customFormat="1" ht="23">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Sponsor legal</v>
      </c>
      <c r="B70" s="266">
        <f>'Sources and Uses Budget'!$C69</f>
        <v>240000</v>
      </c>
      <c r="C70" s="266">
        <f>'Sources and Uses Budget'!$C69</f>
        <v>240000</v>
      </c>
      <c r="D70" s="270">
        <f t="shared" si="0"/>
        <v>0</v>
      </c>
      <c r="E70" s="268"/>
      <c r="F70" s="267"/>
    </row>
    <row r="71" spans="1:6" s="352" customFormat="1">
      <c r="A71" s="149" t="s">
        <v>1646</v>
      </c>
      <c r="B71" s="270">
        <f>SUM(B66:B70)</f>
        <v>697000</v>
      </c>
      <c r="C71" s="270">
        <f>SUM(C66:C70)</f>
        <v>697000</v>
      </c>
      <c r="D71" s="270">
        <f t="shared" si="0"/>
        <v>0</v>
      </c>
      <c r="E71" s="268"/>
      <c r="F71" s="267"/>
    </row>
    <row r="72" spans="1:6" s="352" customFormat="1" ht="13">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434986</v>
      </c>
      <c r="C76" s="266">
        <f>'Sources and Uses Budget'!$C75</f>
        <v>434986</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ht="13">
      <c r="A78" s="271" t="s">
        <v>607</v>
      </c>
      <c r="B78" s="270">
        <f>SUM(B73:B77)</f>
        <v>434986</v>
      </c>
      <c r="C78" s="270">
        <f>SUM(C73:C77)</f>
        <v>434986</v>
      </c>
      <c r="D78" s="270">
        <f t="shared" ref="D78:D106" si="1">C78-B78</f>
        <v>0</v>
      </c>
      <c r="E78" s="268"/>
      <c r="F78" s="267"/>
    </row>
    <row r="79" spans="1:6" s="352" customFormat="1" ht="13">
      <c r="A79" s="264" t="s">
        <v>1211</v>
      </c>
      <c r="B79" s="264"/>
      <c r="C79" s="264"/>
      <c r="D79" s="264"/>
      <c r="E79" s="282"/>
      <c r="F79" s="264"/>
    </row>
    <row r="80" spans="1:6" s="352" customFormat="1">
      <c r="A80" s="510" t="s">
        <v>1213</v>
      </c>
      <c r="B80" s="266">
        <f>'Sources and Uses Budget'!$C79</f>
        <v>1437084</v>
      </c>
      <c r="C80" s="266">
        <f>'Sources and Uses Budget'!$C79</f>
        <v>1437084</v>
      </c>
      <c r="D80" s="270">
        <f t="shared" si="1"/>
        <v>0</v>
      </c>
      <c r="E80" s="268"/>
      <c r="F80" s="267"/>
    </row>
    <row r="81" spans="1:6" s="352" customFormat="1">
      <c r="A81" s="510" t="s">
        <v>58</v>
      </c>
      <c r="B81" s="266">
        <f>'Sources and Uses Budget'!$C80</f>
        <v>434802</v>
      </c>
      <c r="C81" s="266">
        <f>'Sources and Uses Budget'!$C80</f>
        <v>434802</v>
      </c>
      <c r="D81" s="270">
        <f>C81-B81</f>
        <v>0</v>
      </c>
      <c r="E81" s="268"/>
      <c r="F81" s="267"/>
    </row>
    <row r="82" spans="1:6" s="352" customFormat="1" ht="13">
      <c r="A82" s="271" t="s">
        <v>1210</v>
      </c>
      <c r="B82" s="270">
        <f>SUM(B80:B81)</f>
        <v>1871886</v>
      </c>
      <c r="C82" s="270">
        <f>SUM(C80:C81)</f>
        <v>1871886</v>
      </c>
      <c r="D82" s="270">
        <f t="shared" si="1"/>
        <v>0</v>
      </c>
      <c r="E82" s="268"/>
      <c r="F82" s="267"/>
    </row>
    <row r="83" spans="1:6" s="352" customFormat="1" ht="13">
      <c r="A83" s="264" t="s">
        <v>766</v>
      </c>
      <c r="B83" s="264"/>
      <c r="C83" s="264"/>
      <c r="D83" s="264"/>
      <c r="E83" s="282"/>
      <c r="F83" s="264"/>
    </row>
    <row r="84" spans="1:6" s="352" customFormat="1" ht="13.75" customHeight="1">
      <c r="A84" s="269" t="s">
        <v>767</v>
      </c>
      <c r="B84" s="266">
        <f>'Sources and Uses Budget'!$C83</f>
        <v>87547</v>
      </c>
      <c r="C84" s="266">
        <f>'Sources and Uses Budget'!$C83</f>
        <v>87547</v>
      </c>
      <c r="D84" s="270">
        <f t="shared" si="1"/>
        <v>0</v>
      </c>
      <c r="E84" s="268"/>
      <c r="F84" s="267"/>
    </row>
    <row r="85" spans="1:6" s="352" customFormat="1">
      <c r="A85" s="269" t="s">
        <v>768</v>
      </c>
      <c r="B85" s="266">
        <f>'Sources and Uses Budget'!$C84</f>
        <v>30000</v>
      </c>
      <c r="C85" s="266">
        <f>'Sources and Uses Budget'!$C84</f>
        <v>30000</v>
      </c>
      <c r="D85" s="270">
        <f t="shared" si="1"/>
        <v>0</v>
      </c>
      <c r="E85" s="268"/>
      <c r="F85" s="267"/>
    </row>
    <row r="86" spans="1:6" s="352" customFormat="1">
      <c r="A86" s="269" t="s">
        <v>769</v>
      </c>
      <c r="B86" s="266">
        <f>'Sources and Uses Budget'!$C85</f>
        <v>1970204</v>
      </c>
      <c r="C86" s="266">
        <f>'Sources and Uses Budget'!$C85</f>
        <v>1970204</v>
      </c>
      <c r="D86" s="270">
        <f t="shared" si="1"/>
        <v>0</v>
      </c>
      <c r="E86" s="268"/>
      <c r="F86" s="267"/>
    </row>
    <row r="87" spans="1:6" s="352" customFormat="1">
      <c r="A87" s="269" t="s">
        <v>770</v>
      </c>
      <c r="B87" s="266">
        <f>'Sources and Uses Budget'!$C86</f>
        <v>1274270</v>
      </c>
      <c r="C87" s="266">
        <f>'Sources and Uses Budget'!$C86</f>
        <v>1274270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248000</v>
      </c>
      <c r="C89" s="266">
        <f>'Sources and Uses Budget'!$C88</f>
        <v>248000</v>
      </c>
      <c r="D89" s="270">
        <f t="shared" si="1"/>
        <v>0</v>
      </c>
      <c r="E89" s="268"/>
      <c r="F89" s="267"/>
    </row>
    <row r="90" spans="1:6" s="352" customFormat="1">
      <c r="A90" s="269" t="s">
        <v>773</v>
      </c>
      <c r="B90" s="266">
        <f>'Sources and Uses Budget'!$C89</f>
        <v>25000</v>
      </c>
      <c r="C90" s="266">
        <f>'Sources and Uses Budget'!$C89</f>
        <v>25000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62500</v>
      </c>
      <c r="C92" s="266">
        <f>'Sources and Uses Budget'!$C91</f>
        <v>62500</v>
      </c>
      <c r="D92" s="270">
        <f t="shared" si="1"/>
        <v>0</v>
      </c>
      <c r="E92" s="268"/>
      <c r="F92" s="267"/>
    </row>
    <row r="93" spans="1:6" s="352" customFormat="1">
      <c r="A93" s="510" t="s">
        <v>1212</v>
      </c>
      <c r="B93" s="266">
        <f>'Sources and Uses Budget'!$C92</f>
        <v>10000</v>
      </c>
      <c r="C93" s="266">
        <f>'Sources and Uses Budget'!$C92</f>
        <v>10000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775</v>
      </c>
      <c r="B97" s="270">
        <f>SUM(B84:B96)</f>
        <v>3717521</v>
      </c>
      <c r="C97" s="270">
        <f>SUM(C84:C96)</f>
        <v>3717521</v>
      </c>
      <c r="D97" s="270">
        <f t="shared" si="1"/>
        <v>0</v>
      </c>
      <c r="E97" s="268"/>
      <c r="F97" s="267"/>
    </row>
    <row r="98" spans="1:6" s="352" customFormat="1" ht="13">
      <c r="A98" s="271" t="s">
        <v>776</v>
      </c>
      <c r="B98" s="270">
        <f>SUM(B64+B71+B78+B82+B97)</f>
        <v>43324008</v>
      </c>
      <c r="C98" s="270">
        <f>SUM(C64+C71+C78+C82+C97)</f>
        <v>43324008</v>
      </c>
      <c r="D98" s="270">
        <f t="shared" si="1"/>
        <v>0</v>
      </c>
      <c r="E98" s="268"/>
      <c r="F98" s="267"/>
    </row>
    <row r="99" spans="1:6" s="352" customFormat="1" ht="13">
      <c r="A99" s="264" t="s">
        <v>777</v>
      </c>
      <c r="B99" s="264"/>
      <c r="C99" s="264"/>
      <c r="D99" s="264"/>
      <c r="E99" s="282"/>
      <c r="F99" s="264"/>
    </row>
    <row r="100" spans="1:6" s="352" customFormat="1">
      <c r="A100" s="145" t="s">
        <v>778</v>
      </c>
      <c r="B100" s="266">
        <f>'Sources and Uses Budget'!$C99</f>
        <v>6081996</v>
      </c>
      <c r="C100" s="266">
        <f>'Sources and Uses Budget'!$C99</f>
        <v>6081996</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780</v>
      </c>
      <c r="B105" s="270">
        <f>SUM(B100:B104)</f>
        <v>6081996</v>
      </c>
      <c r="C105" s="270">
        <f>SUM(C100:C104)</f>
        <v>6081996</v>
      </c>
      <c r="D105" s="270">
        <f t="shared" si="1"/>
        <v>0</v>
      </c>
      <c r="E105" s="268"/>
      <c r="F105" s="267"/>
    </row>
    <row r="106" spans="1:6" s="352" customFormat="1" ht="13">
      <c r="A106" s="271" t="s">
        <v>781</v>
      </c>
      <c r="B106" s="273">
        <f>SUM(B98+B105)</f>
        <v>49406004</v>
      </c>
      <c r="C106" s="273">
        <f>SUM(C98+C105)</f>
        <v>49406004</v>
      </c>
      <c r="D106" s="270">
        <f t="shared" si="1"/>
        <v>0</v>
      </c>
      <c r="E106" s="268"/>
      <c r="F106" s="267"/>
    </row>
    <row r="107" spans="1:6" s="352" customFormat="1" ht="13">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7" t="s">
        <v>1870</v>
      </c>
      <c r="B1" s="1278"/>
      <c r="C1" s="1278"/>
      <c r="D1" s="1278"/>
      <c r="E1" s="1278"/>
      <c r="F1" s="1278"/>
      <c r="G1" s="1278"/>
      <c r="H1" s="1278"/>
      <c r="I1" s="1278"/>
      <c r="J1" s="1278"/>
    </row>
    <row r="2" spans="1:10" ht="15.5">
      <c r="A2" s="1281" t="s">
        <v>1269</v>
      </c>
      <c r="B2" s="1282"/>
      <c r="C2" s="1282"/>
      <c r="D2" s="1282"/>
      <c r="E2" s="1282"/>
      <c r="F2" s="1282"/>
      <c r="G2" s="1282"/>
      <c r="H2" s="1282"/>
      <c r="I2" s="1282"/>
      <c r="J2" s="1282"/>
    </row>
    <row r="3" spans="1:10" ht="12.5"/>
    <row r="4" spans="1:10" ht="12.75" customHeight="1">
      <c r="A4" s="1279" t="s">
        <v>2048</v>
      </c>
      <c r="B4" s="1279"/>
      <c r="C4" s="1279"/>
      <c r="D4" s="1279"/>
      <c r="E4" s="1279"/>
      <c r="F4" s="1279"/>
      <c r="G4" s="1279"/>
      <c r="H4" s="1279"/>
      <c r="I4" s="1279"/>
      <c r="J4" s="1279"/>
    </row>
    <row r="5" spans="1:10" ht="12.5">
      <c r="A5" s="1279"/>
      <c r="B5" s="1279"/>
      <c r="C5" s="1279"/>
      <c r="D5" s="1279"/>
      <c r="E5" s="1279"/>
      <c r="F5" s="1279"/>
      <c r="G5" s="1279"/>
      <c r="H5" s="1279"/>
      <c r="I5" s="1279"/>
      <c r="J5" s="1279"/>
    </row>
    <row r="6" spans="1:10" ht="30" customHeight="1">
      <c r="A6" s="1279"/>
      <c r="B6" s="1279"/>
      <c r="C6" s="1279"/>
      <c r="D6" s="1279"/>
      <c r="E6" s="1279"/>
      <c r="F6" s="1279"/>
      <c r="G6" s="1279"/>
      <c r="H6" s="1279"/>
      <c r="I6" s="1279"/>
      <c r="J6" s="1279"/>
    </row>
    <row r="7" spans="1:10" ht="12.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5"/>
    <row r="10" spans="1:10" ht="12.75" customHeight="1">
      <c r="A10" s="1283" t="s">
        <v>1875</v>
      </c>
      <c r="B10" s="1283"/>
      <c r="C10" s="1283"/>
      <c r="D10" s="1283"/>
      <c r="E10" s="1283"/>
      <c r="F10" s="1283"/>
      <c r="G10" s="1283"/>
      <c r="H10" s="1283"/>
      <c r="I10" s="1283"/>
      <c r="J10" s="1283"/>
    </row>
    <row r="11" spans="1:10" ht="12.5">
      <c r="A11" s="1283"/>
      <c r="B11" s="1283"/>
      <c r="C11" s="1283"/>
      <c r="D11" s="1283"/>
      <c r="E11" s="1283"/>
      <c r="F11" s="1283"/>
      <c r="G11" s="1283"/>
      <c r="H11" s="1283"/>
      <c r="I11" s="1283"/>
      <c r="J11" s="1283"/>
    </row>
    <row r="12" spans="1:10" ht="12.5">
      <c r="A12" s="1283"/>
      <c r="B12" s="1283"/>
      <c r="C12" s="1283"/>
      <c r="D12" s="1283"/>
      <c r="E12" s="1283"/>
      <c r="F12" s="1283"/>
      <c r="G12" s="1283"/>
      <c r="H12" s="1283"/>
      <c r="I12" s="1283"/>
      <c r="J12" s="1283"/>
    </row>
    <row r="13" spans="1:10" ht="12.5">
      <c r="A13" s="1283"/>
      <c r="B13" s="1283"/>
      <c r="C13" s="1283"/>
      <c r="D13" s="1283"/>
      <c r="E13" s="1283"/>
      <c r="F13" s="1283"/>
      <c r="G13" s="1283"/>
      <c r="H13" s="1283"/>
      <c r="I13" s="1283"/>
      <c r="J13" s="1283"/>
    </row>
    <row r="14" spans="1:10" ht="12.5">
      <c r="A14" s="1283"/>
      <c r="B14" s="1283"/>
      <c r="C14" s="1283"/>
      <c r="D14" s="1283"/>
      <c r="E14" s="1283"/>
      <c r="F14" s="1283"/>
      <c r="G14" s="1283"/>
      <c r="H14" s="1283"/>
      <c r="I14" s="1283"/>
      <c r="J14" s="1283"/>
    </row>
    <row r="15" spans="1:10" ht="12.5">
      <c r="A15" s="1283"/>
      <c r="B15" s="1283"/>
      <c r="C15" s="1283"/>
      <c r="D15" s="1283"/>
      <c r="E15" s="1283"/>
      <c r="F15" s="1283"/>
      <c r="G15" s="1283"/>
      <c r="H15" s="1283"/>
      <c r="I15" s="1283"/>
      <c r="J15" s="1283"/>
    </row>
    <row r="16" spans="1:10" ht="12.5">
      <c r="A16" s="524"/>
      <c r="B16" s="524"/>
      <c r="C16" s="524"/>
      <c r="D16" s="524"/>
      <c r="E16" s="524"/>
      <c r="F16" s="524"/>
      <c r="G16" s="524"/>
      <c r="H16" s="524"/>
      <c r="I16" s="524"/>
      <c r="J16" s="524"/>
    </row>
    <row r="17" spans="1:10" ht="12.5">
      <c r="A17" s="476" t="s">
        <v>1874</v>
      </c>
      <c r="B17" s="416"/>
      <c r="C17" s="416"/>
      <c r="D17" s="416"/>
      <c r="E17" s="416"/>
      <c r="F17" s="416"/>
      <c r="G17" s="416"/>
      <c r="H17" s="416"/>
      <c r="I17" s="416"/>
      <c r="J17" s="416"/>
    </row>
    <row r="18" spans="1:10" ht="12.5">
      <c r="A18" s="416" t="s">
        <v>250</v>
      </c>
      <c r="B18" s="416"/>
      <c r="C18" s="416"/>
      <c r="D18" s="416"/>
      <c r="E18" s="416"/>
      <c r="F18" s="416"/>
      <c r="G18" s="416"/>
      <c r="H18" s="416"/>
      <c r="I18" s="416"/>
      <c r="J18" s="416"/>
    </row>
    <row r="19" spans="1:10" ht="12.5">
      <c r="A19" s="1282" t="s">
        <v>1190</v>
      </c>
      <c r="B19" s="1282"/>
      <c r="C19" s="1282"/>
      <c r="D19" s="1282"/>
      <c r="E19" s="1282"/>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9" t="s">
        <v>1191</v>
      </c>
      <c r="B56" s="1279"/>
      <c r="C56" s="1279"/>
      <c r="D56" s="1279"/>
      <c r="E56" s="1279"/>
      <c r="F56" s="1279"/>
      <c r="G56" s="1279"/>
      <c r="H56" s="1279"/>
      <c r="I56" s="1279"/>
      <c r="J56" s="1279"/>
    </row>
    <row r="57" spans="1:10" ht="12.5">
      <c r="A57" s="1279"/>
      <c r="B57" s="1279"/>
      <c r="C57" s="1279"/>
      <c r="D57" s="1279"/>
      <c r="E57" s="1279"/>
      <c r="F57" s="1279"/>
      <c r="G57" s="1279"/>
      <c r="H57" s="1279"/>
      <c r="I57" s="1279"/>
      <c r="J57" s="1279"/>
    </row>
    <row r="58" spans="1:10" ht="12.5">
      <c r="A58" s="1279"/>
      <c r="B58" s="1279"/>
      <c r="C58" s="1279"/>
      <c r="D58" s="1279"/>
      <c r="E58" s="1279"/>
      <c r="F58" s="1279"/>
      <c r="G58" s="1279"/>
      <c r="H58" s="1279"/>
      <c r="I58" s="1279"/>
      <c r="J58" s="1279"/>
    </row>
    <row r="59" spans="1:10" ht="12.5"/>
    <row r="60" spans="1:10" ht="12.5">
      <c r="A60" s="402" t="s">
        <v>1190</v>
      </c>
    </row>
    <row r="61" spans="1:10" ht="12.5"/>
    <row r="62" spans="1:10" ht="12.5"/>
    <row r="63" spans="1:10" ht="12.5"/>
    <row r="64" spans="1:10" ht="12.5"/>
    <row r="65" spans="1:9" ht="12.5"/>
    <row r="66" spans="1:9" ht="12.5"/>
    <row r="67" spans="1:9" ht="12.5"/>
    <row r="68" spans="1:9" ht="12.5"/>
    <row r="69" spans="1:9" ht="12.5"/>
    <row r="70" spans="1:9" ht="12.5"/>
    <row r="71" spans="1:9" ht="13">
      <c r="A71" s="1280" t="s">
        <v>1871</v>
      </c>
      <c r="B71" s="1280"/>
      <c r="C71" s="1280"/>
      <c r="D71" s="1280"/>
      <c r="E71" s="1280"/>
      <c r="F71" s="1280"/>
      <c r="G71" s="1280"/>
      <c r="H71" s="1280"/>
      <c r="I71" s="1280"/>
    </row>
    <row r="72" spans="1:9" ht="12.5">
      <c r="A72" s="1270" t="s">
        <v>2046</v>
      </c>
      <c r="B72" s="1270"/>
      <c r="C72" s="1270"/>
      <c r="D72" s="1270"/>
      <c r="E72" s="1270"/>
    </row>
    <row r="73" spans="1:9" ht="12.5">
      <c r="A73" s="1270" t="s">
        <v>2047</v>
      </c>
      <c r="B73" s="1270"/>
      <c r="C73" s="1270"/>
      <c r="D73" s="1270"/>
      <c r="E73" s="1270"/>
    </row>
    <row r="74" spans="1:9" ht="12.5">
      <c r="A74" s="1270" t="s">
        <v>1872</v>
      </c>
      <c r="B74" s="1270"/>
      <c r="C74" s="1270"/>
      <c r="D74" s="1270"/>
      <c r="E74" s="1270"/>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85" zoomScaleNormal="85" workbookViewId="0">
      <selection activeCell="D56" sqref="D56:F59"/>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284" t="s">
        <v>2460</v>
      </c>
      <c r="B2" s="1284"/>
      <c r="C2" s="1284"/>
      <c r="D2" s="1284"/>
      <c r="E2" s="1284"/>
      <c r="F2" s="1284"/>
      <c r="G2" s="1284"/>
      <c r="H2" s="1284"/>
      <c r="I2" s="1284"/>
    </row>
    <row r="3" spans="1:13">
      <c r="A3" s="1285" t="s">
        <v>2220</v>
      </c>
      <c r="B3" s="1285"/>
      <c r="C3" s="1285"/>
      <c r="D3" s="1285"/>
      <c r="E3" s="1285"/>
      <c r="F3" s="1285"/>
      <c r="G3" s="1285"/>
      <c r="H3" s="1285"/>
      <c r="I3" s="1285"/>
    </row>
    <row r="4" spans="1:13">
      <c r="A4" s="1285"/>
      <c r="B4" s="1285"/>
      <c r="C4" s="1282"/>
      <c r="D4" s="1282"/>
      <c r="E4" s="1282"/>
      <c r="F4" s="1282"/>
      <c r="G4" s="1282"/>
    </row>
    <row r="5" spans="1:13">
      <c r="A5" s="1285"/>
      <c r="B5" s="1285"/>
      <c r="C5" s="1282"/>
      <c r="D5" s="1282"/>
      <c r="E5" s="1282"/>
      <c r="F5" s="1282"/>
      <c r="G5" s="1282"/>
    </row>
    <row r="6" spans="1:13" ht="12.75" customHeight="1">
      <c r="A6" s="1309" t="s">
        <v>2219</v>
      </c>
      <c r="B6" s="1309"/>
      <c r="C6" s="1309"/>
      <c r="D6" s="1309"/>
      <c r="E6" s="1309"/>
      <c r="F6" s="1309"/>
      <c r="G6" s="1309"/>
      <c r="I6" s="490"/>
    </row>
    <row r="7" spans="1:13">
      <c r="A7" s="1309"/>
      <c r="B7" s="1309"/>
      <c r="C7" s="1309"/>
      <c r="D7" s="1309"/>
      <c r="E7" s="1309"/>
      <c r="F7" s="1309"/>
      <c r="G7" s="1309"/>
      <c r="I7" s="490"/>
    </row>
    <row r="8" spans="1:13">
      <c r="A8" s="481"/>
      <c r="B8" s="481"/>
      <c r="C8" s="482"/>
      <c r="D8" s="482"/>
      <c r="E8" s="482"/>
      <c r="F8" s="482"/>
    </row>
    <row r="9" spans="1:13">
      <c r="A9" s="1289" t="s">
        <v>1102</v>
      </c>
      <c r="B9" s="1289"/>
      <c r="C9" s="1289"/>
      <c r="D9" s="1289"/>
      <c r="E9" s="1289"/>
      <c r="F9" s="1289"/>
      <c r="G9" s="1289"/>
      <c r="H9" s="1028"/>
      <c r="I9" s="1029"/>
    </row>
    <row r="10" spans="1:13">
      <c r="A10" s="482"/>
      <c r="B10" s="482"/>
      <c r="E10" s="404"/>
    </row>
    <row r="11" spans="1:13" ht="13.75" customHeight="1">
      <c r="C11" s="482"/>
      <c r="D11" s="1308" t="s">
        <v>1101</v>
      </c>
      <c r="E11" s="1308"/>
      <c r="F11" s="1308"/>
    </row>
    <row r="12" spans="1:13">
      <c r="C12" s="482"/>
      <c r="D12" s="1308"/>
      <c r="E12" s="1308"/>
      <c r="F12" s="1308"/>
    </row>
    <row r="13" spans="1:13">
      <c r="A13" s="483"/>
      <c r="B13" s="483"/>
      <c r="C13" s="483"/>
      <c r="D13" s="1287" t="s">
        <v>1091</v>
      </c>
      <c r="E13" s="1287"/>
      <c r="F13" s="1287"/>
      <c r="M13" s="96"/>
    </row>
    <row r="14" spans="1:13">
      <c r="A14" s="483"/>
      <c r="B14" s="483"/>
      <c r="C14" s="483"/>
      <c r="D14" s="476"/>
      <c r="L14" s="312"/>
    </row>
    <row r="15" spans="1:13">
      <c r="A15" s="484"/>
      <c r="B15" s="485" t="s">
        <v>2745</v>
      </c>
      <c r="C15" s="483"/>
      <c r="D15" s="1286" t="s">
        <v>1923</v>
      </c>
      <c r="E15" s="1286"/>
      <c r="F15" s="1286"/>
      <c r="I15" s="490"/>
    </row>
    <row r="16" spans="1:13">
      <c r="A16" s="483"/>
      <c r="B16" s="483"/>
      <c r="C16" s="483"/>
      <c r="D16" s="1286"/>
      <c r="E16" s="1286"/>
      <c r="F16" s="1286"/>
      <c r="I16" s="490"/>
    </row>
    <row r="17" spans="1:9">
      <c r="A17" s="483"/>
      <c r="B17" s="483"/>
      <c r="C17" s="483"/>
      <c r="D17" s="1286"/>
      <c r="E17" s="1286"/>
      <c r="F17" s="1286"/>
      <c r="I17" s="490"/>
    </row>
    <row r="18" spans="1:9">
      <c r="A18" s="483"/>
      <c r="B18" s="483"/>
      <c r="C18" s="483"/>
      <c r="D18" s="445"/>
      <c r="E18" s="312" t="s">
        <v>1921</v>
      </c>
      <c r="F18" s="445"/>
      <c r="I18" s="490"/>
    </row>
    <row r="19" spans="1:9">
      <c r="A19" s="483"/>
      <c r="B19" s="483"/>
      <c r="C19" s="483"/>
      <c r="I19" s="490"/>
    </row>
    <row r="20" spans="1:9">
      <c r="A20" s="484"/>
      <c r="B20" s="485" t="s">
        <v>2745</v>
      </c>
      <c r="D20" s="1286" t="s">
        <v>1924</v>
      </c>
      <c r="E20" s="1286"/>
      <c r="F20" s="1286"/>
      <c r="I20" s="490"/>
    </row>
    <row r="21" spans="1:9">
      <c r="A21" s="484"/>
      <c r="D21" s="1286"/>
      <c r="E21" s="1286"/>
      <c r="F21" s="1286"/>
      <c r="I21" s="490"/>
    </row>
    <row r="22" spans="1:9">
      <c r="A22" s="484"/>
      <c r="D22" s="392"/>
      <c r="E22" s="96" t="s">
        <v>1920</v>
      </c>
      <c r="F22" s="392"/>
      <c r="I22" s="490"/>
    </row>
    <row r="23" spans="1:9">
      <c r="A23" s="484"/>
      <c r="B23" s="484"/>
      <c r="D23" s="446"/>
      <c r="I23" s="490"/>
    </row>
    <row r="24" spans="1:9">
      <c r="A24" s="484"/>
      <c r="B24" s="485" t="s">
        <v>2746</v>
      </c>
      <c r="D24" s="1286" t="s">
        <v>1092</v>
      </c>
      <c r="E24" s="1286"/>
      <c r="F24" s="1286"/>
      <c r="I24" s="490"/>
    </row>
    <row r="25" spans="1:9">
      <c r="A25" s="484"/>
      <c r="B25" s="484"/>
      <c r="D25" s="1286"/>
      <c r="E25" s="1286"/>
      <c r="F25" s="1286"/>
      <c r="I25" s="490"/>
    </row>
    <row r="26" spans="1:9">
      <c r="I26" s="490"/>
    </row>
    <row r="27" spans="1:9">
      <c r="A27" s="484"/>
      <c r="B27" s="485" t="s">
        <v>2745</v>
      </c>
      <c r="D27" s="1286" t="s">
        <v>2049</v>
      </c>
      <c r="E27" s="1286"/>
      <c r="F27" s="1286"/>
      <c r="I27" s="490"/>
    </row>
    <row r="28" spans="1:9">
      <c r="D28" s="1286"/>
      <c r="E28" s="1286"/>
      <c r="F28" s="1286"/>
      <c r="I28" s="490"/>
    </row>
    <row r="29" spans="1:9">
      <c r="D29" s="1286"/>
      <c r="E29" s="1286"/>
      <c r="F29" s="1286"/>
      <c r="I29" s="490"/>
    </row>
    <row r="30" spans="1:9">
      <c r="D30" s="1286"/>
      <c r="E30" s="1286"/>
      <c r="F30" s="1286"/>
      <c r="I30" s="490"/>
    </row>
    <row r="31" spans="1:9">
      <c r="D31" s="1286"/>
      <c r="E31" s="1286"/>
      <c r="F31" s="1286"/>
      <c r="I31" s="490"/>
    </row>
    <row r="32" spans="1:9">
      <c r="D32" s="447"/>
      <c r="I32" s="490"/>
    </row>
    <row r="33" spans="1:9">
      <c r="B33" s="485" t="s">
        <v>2745</v>
      </c>
      <c r="D33" s="1286" t="s">
        <v>2050</v>
      </c>
      <c r="E33" s="1286"/>
      <c r="F33" s="1286"/>
      <c r="I33" s="490"/>
    </row>
    <row r="34" spans="1:9">
      <c r="D34" s="1286"/>
      <c r="E34" s="1286"/>
      <c r="F34" s="1286"/>
      <c r="I34" s="490"/>
    </row>
    <row r="35" spans="1:9">
      <c r="A35" s="484"/>
      <c r="B35" s="484"/>
      <c r="D35" s="447"/>
      <c r="I35" s="490"/>
    </row>
    <row r="36" spans="1:9" ht="14.5" customHeight="1">
      <c r="A36" s="484"/>
      <c r="B36" s="485" t="s">
        <v>2746</v>
      </c>
      <c r="D36" s="1286" t="s">
        <v>1215</v>
      </c>
      <c r="E36" s="1286"/>
      <c r="F36" s="1286"/>
      <c r="I36" s="490"/>
    </row>
    <row r="37" spans="1:9">
      <c r="A37" s="484"/>
      <c r="B37" s="484"/>
      <c r="D37" s="1286"/>
      <c r="E37" s="1286"/>
      <c r="F37" s="1286"/>
      <c r="I37" s="490"/>
    </row>
    <row r="38" spans="1:9">
      <c r="A38" s="484"/>
      <c r="B38" s="484"/>
      <c r="D38" s="1286"/>
      <c r="E38" s="1286"/>
      <c r="F38" s="1286"/>
      <c r="I38" s="490"/>
    </row>
    <row r="39" spans="1:9">
      <c r="A39" s="484"/>
      <c r="B39" s="484"/>
      <c r="D39" s="1286"/>
      <c r="E39" s="1286"/>
      <c r="F39" s="1286"/>
      <c r="I39" s="490"/>
    </row>
    <row r="40" spans="1:9">
      <c r="A40" s="484"/>
      <c r="B40" s="484"/>
      <c r="I40" s="490"/>
    </row>
    <row r="41" spans="1:9">
      <c r="A41" s="484"/>
      <c r="B41" s="485" t="s">
        <v>2745</v>
      </c>
      <c r="D41" s="1286" t="s">
        <v>1093</v>
      </c>
      <c r="E41" s="1286"/>
      <c r="F41" s="1286"/>
      <c r="I41" s="490"/>
    </row>
    <row r="42" spans="1:9">
      <c r="A42" s="484"/>
      <c r="B42" s="484"/>
      <c r="D42" s="1286"/>
      <c r="E42" s="1286"/>
      <c r="F42" s="1286"/>
      <c r="I42" s="490"/>
    </row>
    <row r="43" spans="1:9">
      <c r="A43" s="484"/>
      <c r="B43" s="484"/>
      <c r="D43" s="1286"/>
      <c r="E43" s="1286"/>
      <c r="F43" s="1286"/>
      <c r="I43" s="490"/>
    </row>
    <row r="44" spans="1:9">
      <c r="A44" s="484"/>
      <c r="B44" s="484"/>
      <c r="D44" s="1286"/>
      <c r="E44" s="1286"/>
      <c r="F44" s="1286"/>
      <c r="I44" s="490"/>
    </row>
    <row r="45" spans="1:9">
      <c r="A45" s="484"/>
      <c r="B45" s="484"/>
      <c r="D45" s="1286"/>
      <c r="E45" s="1286"/>
      <c r="F45" s="1286"/>
      <c r="I45" s="490"/>
    </row>
    <row r="46" spans="1:9">
      <c r="A46" s="484"/>
      <c r="B46" s="484"/>
      <c r="D46" s="445"/>
      <c r="E46" s="445"/>
      <c r="F46" s="445"/>
      <c r="I46" s="490"/>
    </row>
    <row r="47" spans="1:9">
      <c r="A47" s="484"/>
      <c r="B47" s="485" t="s">
        <v>2746</v>
      </c>
      <c r="D47" s="1286" t="s">
        <v>1094</v>
      </c>
      <c r="E47" s="1286"/>
      <c r="F47" s="1286"/>
      <c r="I47" s="490"/>
    </row>
    <row r="48" spans="1:9">
      <c r="A48" s="484"/>
      <c r="B48" s="484"/>
      <c r="D48" s="1286"/>
      <c r="E48" s="1286"/>
      <c r="F48" s="1286"/>
      <c r="I48" s="490"/>
    </row>
    <row r="49" spans="1:9">
      <c r="A49" s="484"/>
      <c r="B49" s="484"/>
      <c r="D49" s="1286"/>
      <c r="E49" s="1286"/>
      <c r="F49" s="1286"/>
      <c r="I49" s="490"/>
    </row>
    <row r="50" spans="1:9" ht="23.25" customHeight="1">
      <c r="A50" s="484"/>
      <c r="B50" s="484"/>
      <c r="D50" s="1286"/>
      <c r="E50" s="1286"/>
      <c r="F50" s="1286"/>
      <c r="I50" s="490"/>
    </row>
    <row r="51" spans="1:9">
      <c r="A51" s="484"/>
      <c r="B51" s="484"/>
      <c r="D51" s="446"/>
      <c r="I51" s="490"/>
    </row>
    <row r="52" spans="1:9" ht="14.5" customHeight="1">
      <c r="A52" s="484"/>
      <c r="B52" s="485" t="s">
        <v>2746</v>
      </c>
      <c r="D52" s="1286" t="s">
        <v>1095</v>
      </c>
      <c r="E52" s="1286"/>
      <c r="F52" s="1286"/>
      <c r="I52" s="490"/>
    </row>
    <row r="53" spans="1:9">
      <c r="A53" s="484"/>
      <c r="B53" s="484"/>
      <c r="D53" s="1286"/>
      <c r="E53" s="1286"/>
      <c r="F53" s="1286"/>
      <c r="I53" s="490"/>
    </row>
    <row r="54" spans="1:9">
      <c r="A54" s="484"/>
      <c r="B54" s="484"/>
      <c r="D54" s="1286"/>
      <c r="E54" s="1286"/>
      <c r="F54" s="1286"/>
      <c r="I54" s="490"/>
    </row>
    <row r="55" spans="1:9">
      <c r="A55" s="484"/>
      <c r="B55" s="484"/>
      <c r="I55" s="490"/>
    </row>
    <row r="56" spans="1:9">
      <c r="A56" s="484"/>
      <c r="B56" s="485" t="s">
        <v>2745</v>
      </c>
      <c r="D56" s="1310" t="s">
        <v>1096</v>
      </c>
      <c r="E56" s="1310"/>
      <c r="F56" s="1310"/>
      <c r="I56" s="490"/>
    </row>
    <row r="57" spans="1:9">
      <c r="A57" s="484"/>
      <c r="B57" s="484"/>
      <c r="D57" s="1310"/>
      <c r="E57" s="1310"/>
      <c r="F57" s="1310"/>
      <c r="I57" s="490"/>
    </row>
    <row r="58" spans="1:9">
      <c r="A58" s="484"/>
      <c r="B58" s="484"/>
      <c r="D58" s="392" t="s">
        <v>1922</v>
      </c>
      <c r="E58" s="445"/>
      <c r="F58" s="445"/>
      <c r="I58" s="490"/>
    </row>
    <row r="59" spans="1:9">
      <c r="A59" s="484"/>
      <c r="B59" s="484"/>
      <c r="D59" s="445"/>
      <c r="E59" s="312" t="s">
        <v>1921</v>
      </c>
      <c r="F59" s="445"/>
      <c r="I59" s="490"/>
    </row>
    <row r="60" spans="1:9">
      <c r="D60" s="447"/>
      <c r="I60" s="490"/>
    </row>
    <row r="61" spans="1:9">
      <c r="A61" s="484"/>
      <c r="B61" s="485" t="s">
        <v>2746</v>
      </c>
      <c r="D61" s="1286" t="s">
        <v>1097</v>
      </c>
      <c r="E61" s="1286"/>
      <c r="F61" s="1286"/>
      <c r="I61" s="490"/>
    </row>
    <row r="62" spans="1:9">
      <c r="D62" s="1286"/>
      <c r="E62" s="1286"/>
      <c r="F62" s="1286"/>
      <c r="I62" s="490"/>
    </row>
    <row r="63" spans="1:9">
      <c r="D63" s="1286"/>
      <c r="E63" s="1286"/>
      <c r="F63" s="1286"/>
      <c r="I63" s="490"/>
    </row>
    <row r="64" spans="1:9">
      <c r="I64" s="490"/>
    </row>
    <row r="65" spans="1:9">
      <c r="A65" s="484"/>
      <c r="B65" s="485" t="s">
        <v>2746</v>
      </c>
      <c r="D65" s="1286" t="s">
        <v>1098</v>
      </c>
      <c r="E65" s="1286"/>
      <c r="F65" s="1286"/>
      <c r="I65" s="490"/>
    </row>
    <row r="66" spans="1:9">
      <c r="D66" s="1286"/>
      <c r="E66" s="1286"/>
      <c r="F66" s="1286"/>
      <c r="I66" s="490"/>
    </row>
    <row r="67" spans="1:9">
      <c r="I67" s="490"/>
    </row>
    <row r="68" spans="1:9">
      <c r="A68" s="484"/>
      <c r="B68" s="485" t="s">
        <v>2745</v>
      </c>
      <c r="D68" s="1286" t="s">
        <v>1099</v>
      </c>
      <c r="E68" s="1286"/>
      <c r="F68" s="1286"/>
      <c r="I68" s="490"/>
    </row>
    <row r="69" spans="1:9">
      <c r="D69" s="1286"/>
      <c r="E69" s="1286"/>
      <c r="F69" s="1286"/>
      <c r="I69" s="490"/>
    </row>
    <row r="70" spans="1:9">
      <c r="D70" s="1286"/>
      <c r="E70" s="1286"/>
      <c r="F70" s="1286"/>
      <c r="I70" s="490"/>
    </row>
    <row r="71" spans="1:9">
      <c r="I71" s="490"/>
    </row>
    <row r="72" spans="1:9">
      <c r="A72" s="484"/>
      <c r="B72" s="485" t="s">
        <v>2745</v>
      </c>
      <c r="D72" s="1286" t="s">
        <v>1100</v>
      </c>
      <c r="E72" s="1286"/>
      <c r="F72" s="1286"/>
      <c r="I72" s="490"/>
    </row>
    <row r="73" spans="1:9">
      <c r="D73" s="1286"/>
      <c r="E73" s="1286"/>
      <c r="F73" s="1286"/>
      <c r="I73" s="490"/>
    </row>
    <row r="74" spans="1:9">
      <c r="A74" s="484"/>
      <c r="B74" s="484"/>
      <c r="D74" s="446"/>
      <c r="I74" s="490"/>
    </row>
    <row r="75" spans="1:9">
      <c r="A75" s="1289" t="s">
        <v>1045</v>
      </c>
      <c r="B75" s="1289"/>
      <c r="C75" s="1289"/>
      <c r="D75" s="1289"/>
      <c r="E75" s="1289"/>
      <c r="F75" s="1289"/>
      <c r="G75" s="1289"/>
      <c r="H75" s="1028"/>
      <c r="I75" s="1153"/>
    </row>
    <row r="76" spans="1:9">
      <c r="I76" s="490"/>
    </row>
    <row r="77" spans="1:9">
      <c r="C77" s="486"/>
      <c r="D77" s="1288" t="s">
        <v>1103</v>
      </c>
      <c r="E77" s="1288"/>
      <c r="F77" s="1288"/>
      <c r="I77" s="490"/>
    </row>
    <row r="78" spans="1:9">
      <c r="A78" s="446"/>
      <c r="B78" s="446"/>
      <c r="D78" s="1286" t="s">
        <v>1118</v>
      </c>
      <c r="E78" s="1286"/>
      <c r="F78" s="1286"/>
      <c r="I78" s="490"/>
    </row>
    <row r="79" spans="1:9">
      <c r="A79" s="446"/>
      <c r="B79" s="446"/>
      <c r="I79" s="490"/>
    </row>
    <row r="80" spans="1:9" ht="13.75" customHeight="1">
      <c r="A80" s="484"/>
      <c r="B80" s="485" t="s">
        <v>2745</v>
      </c>
      <c r="D80" s="1286" t="s">
        <v>1246</v>
      </c>
      <c r="E80" s="1286"/>
      <c r="F80" s="1286"/>
      <c r="I80" s="490"/>
    </row>
    <row r="81" spans="1:9">
      <c r="A81" s="484"/>
      <c r="B81" s="484"/>
      <c r="D81" s="1286"/>
      <c r="E81" s="1286"/>
      <c r="F81" s="1286"/>
      <c r="I81" s="490"/>
    </row>
    <row r="82" spans="1:9">
      <c r="A82" s="484"/>
      <c r="B82" s="484"/>
      <c r="D82" s="1286"/>
      <c r="E82" s="1286"/>
      <c r="F82" s="1286"/>
      <c r="I82" s="490"/>
    </row>
    <row r="83" spans="1:9">
      <c r="A83" s="484"/>
      <c r="B83" s="484"/>
      <c r="D83" s="1286"/>
      <c r="E83" s="1286"/>
      <c r="F83" s="1286"/>
      <c r="I83" s="490"/>
    </row>
    <row r="84" spans="1:9">
      <c r="A84" s="484"/>
      <c r="B84" s="484"/>
      <c r="D84" s="1286"/>
      <c r="E84" s="1286"/>
      <c r="F84" s="1286"/>
      <c r="I84" s="490"/>
    </row>
    <row r="85" spans="1:9">
      <c r="A85" s="484"/>
      <c r="B85" s="484"/>
      <c r="D85" s="1286"/>
      <c r="E85" s="1286"/>
      <c r="F85" s="1286"/>
      <c r="I85" s="490"/>
    </row>
    <row r="86" spans="1:9">
      <c r="A86" s="484"/>
      <c r="B86" s="484"/>
      <c r="D86" s="1286"/>
      <c r="E86" s="1286"/>
      <c r="F86" s="1286"/>
      <c r="I86" s="490"/>
    </row>
    <row r="87" spans="1:9">
      <c r="A87" s="484"/>
      <c r="B87" s="484"/>
      <c r="D87" s="1286"/>
      <c r="E87" s="1286"/>
      <c r="F87" s="1286"/>
      <c r="I87" s="490"/>
    </row>
    <row r="88" spans="1:9">
      <c r="A88" s="484"/>
      <c r="B88" s="484"/>
      <c r="D88" s="385"/>
      <c r="E88" s="385"/>
      <c r="F88" s="385"/>
      <c r="I88" s="490"/>
    </row>
    <row r="89" spans="1:9" ht="15" customHeight="1">
      <c r="A89" s="484"/>
      <c r="B89" s="485" t="s">
        <v>2745</v>
      </c>
      <c r="D89" s="1286" t="s">
        <v>1743</v>
      </c>
      <c r="E89" s="1286"/>
      <c r="F89" s="1286"/>
      <c r="I89" s="490"/>
    </row>
    <row r="90" spans="1:9">
      <c r="A90" s="484"/>
      <c r="B90" s="484"/>
      <c r="D90" s="1286"/>
      <c r="E90" s="1286"/>
      <c r="F90" s="1286"/>
      <c r="I90" s="490"/>
    </row>
    <row r="91" spans="1:9">
      <c r="A91" s="484"/>
      <c r="B91" s="484"/>
      <c r="D91" s="445"/>
      <c r="E91" s="445"/>
      <c r="F91" s="445"/>
      <c r="I91" s="490"/>
    </row>
    <row r="92" spans="1:9">
      <c r="A92" s="484"/>
      <c r="B92" s="485" t="s">
        <v>2745</v>
      </c>
      <c r="D92" s="1286" t="s">
        <v>1746</v>
      </c>
      <c r="E92" s="1286"/>
      <c r="F92" s="1286"/>
      <c r="I92" s="490"/>
    </row>
    <row r="93" spans="1:9">
      <c r="A93" s="484"/>
      <c r="B93" s="484"/>
      <c r="D93" s="1286"/>
      <c r="E93" s="1286"/>
      <c r="F93" s="1286"/>
      <c r="I93" s="490"/>
    </row>
    <row r="94" spans="1:9">
      <c r="A94" s="484"/>
      <c r="B94" s="484"/>
      <c r="D94" s="1286"/>
      <c r="E94" s="1286"/>
      <c r="F94" s="1286"/>
      <c r="I94" s="490"/>
    </row>
    <row r="95" spans="1:9">
      <c r="A95" s="484"/>
      <c r="B95" s="484"/>
      <c r="D95" s="445"/>
      <c r="E95" s="445"/>
      <c r="F95" s="445"/>
      <c r="I95" s="490"/>
    </row>
    <row r="96" spans="1:9">
      <c r="A96" s="484"/>
      <c r="B96" s="485" t="s">
        <v>2745</v>
      </c>
      <c r="D96" s="1286" t="s">
        <v>1745</v>
      </c>
      <c r="E96" s="1286"/>
      <c r="F96" s="1286"/>
      <c r="I96" s="490"/>
    </row>
    <row r="97" spans="1:9" s="987" customFormat="1">
      <c r="A97" s="985"/>
      <c r="B97" s="985"/>
      <c r="C97" s="986"/>
      <c r="D97" s="1286"/>
      <c r="E97" s="1286"/>
      <c r="F97" s="1286"/>
      <c r="I97" s="1154"/>
    </row>
    <row r="98" spans="1:9">
      <c r="A98" s="484"/>
      <c r="B98" s="484"/>
      <c r="D98" s="392"/>
      <c r="E98" s="312" t="s">
        <v>1925</v>
      </c>
      <c r="F98" s="445"/>
      <c r="I98" s="490"/>
    </row>
    <row r="99" spans="1:9">
      <c r="A99" s="484"/>
      <c r="B99" s="484"/>
      <c r="D99" s="385"/>
      <c r="E99" s="385"/>
      <c r="F99" s="385"/>
      <c r="I99" s="490"/>
    </row>
    <row r="100" spans="1:9">
      <c r="A100" s="484"/>
      <c r="B100" s="485" t="s">
        <v>2746</v>
      </c>
      <c r="D100" s="1286" t="s">
        <v>1744</v>
      </c>
      <c r="E100" s="1286"/>
      <c r="F100" s="1286"/>
      <c r="I100" s="490"/>
    </row>
    <row r="101" spans="1:9">
      <c r="A101" s="484"/>
      <c r="B101" s="484"/>
      <c r="D101" s="1286"/>
      <c r="E101" s="1286"/>
      <c r="F101" s="1286"/>
      <c r="I101" s="490"/>
    </row>
    <row r="102" spans="1:9">
      <c r="A102" s="484"/>
      <c r="B102" s="484"/>
      <c r="D102" s="445"/>
      <c r="E102" s="445"/>
      <c r="F102" s="445"/>
      <c r="I102" s="490"/>
    </row>
    <row r="103" spans="1:9" ht="14.5" customHeight="1">
      <c r="A103" s="484"/>
      <c r="B103" s="485" t="s">
        <v>2746</v>
      </c>
      <c r="D103" s="1286" t="s">
        <v>1195</v>
      </c>
      <c r="E103" s="1286"/>
      <c r="F103" s="1286"/>
      <c r="I103" s="490"/>
    </row>
    <row r="104" spans="1:9">
      <c r="A104" s="484"/>
      <c r="B104" s="484"/>
      <c r="D104" s="1286"/>
      <c r="E104" s="1286"/>
      <c r="F104" s="1286"/>
      <c r="I104" s="490"/>
    </row>
    <row r="105" spans="1:9">
      <c r="A105" s="484"/>
      <c r="B105" s="484"/>
      <c r="D105" s="1286"/>
      <c r="E105" s="1286"/>
      <c r="F105" s="1286"/>
      <c r="I105" s="490"/>
    </row>
    <row r="106" spans="1:9">
      <c r="A106" s="484"/>
      <c r="B106" s="484"/>
      <c r="D106" s="1286"/>
      <c r="E106" s="1286"/>
      <c r="F106" s="1286"/>
      <c r="I106" s="490"/>
    </row>
    <row r="107" spans="1:9">
      <c r="A107" s="484"/>
      <c r="B107" s="484"/>
      <c r="D107" s="1286"/>
      <c r="E107" s="1286"/>
      <c r="F107" s="1286"/>
      <c r="I107" s="490"/>
    </row>
    <row r="108" spans="1:9">
      <c r="A108" s="484"/>
      <c r="B108" s="484"/>
      <c r="D108" s="1286"/>
      <c r="E108" s="1286"/>
      <c r="F108" s="1286"/>
      <c r="I108" s="490"/>
    </row>
    <row r="109" spans="1:9">
      <c r="A109" s="484"/>
      <c r="B109" s="484"/>
      <c r="D109" s="1286"/>
      <c r="E109" s="1286"/>
      <c r="F109" s="1286"/>
      <c r="I109" s="490"/>
    </row>
    <row r="110" spans="1:9">
      <c r="A110" s="484"/>
      <c r="B110" s="484"/>
      <c r="D110" s="1286"/>
      <c r="E110" s="1286"/>
      <c r="F110" s="1286"/>
      <c r="I110" s="490"/>
    </row>
    <row r="111" spans="1:9">
      <c r="A111" s="484"/>
      <c r="B111" s="484"/>
      <c r="D111" s="1286"/>
      <c r="E111" s="1286"/>
      <c r="F111" s="1286"/>
      <c r="I111" s="490"/>
    </row>
    <row r="112" spans="1:9">
      <c r="A112" s="484"/>
      <c r="B112" s="484"/>
      <c r="D112" s="1286"/>
      <c r="E112" s="1286"/>
      <c r="F112" s="1286"/>
      <c r="I112" s="490"/>
    </row>
    <row r="113" spans="1:9">
      <c r="A113" s="484"/>
      <c r="B113" s="484"/>
      <c r="D113" s="1286"/>
      <c r="E113" s="1286"/>
      <c r="F113" s="1286"/>
      <c r="I113" s="490"/>
    </row>
    <row r="114" spans="1:9">
      <c r="A114" s="484"/>
      <c r="B114" s="484"/>
      <c r="D114" s="1286"/>
      <c r="E114" s="1286"/>
      <c r="F114" s="1286"/>
      <c r="I114" s="490"/>
    </row>
    <row r="115" spans="1:9">
      <c r="A115" s="484"/>
      <c r="B115" s="484"/>
      <c r="D115" s="1286"/>
      <c r="E115" s="1286"/>
      <c r="F115" s="1286"/>
      <c r="I115" s="490"/>
    </row>
    <row r="116" spans="1:9">
      <c r="A116" s="484"/>
      <c r="B116" s="484"/>
      <c r="D116" s="1286"/>
      <c r="E116" s="1286"/>
      <c r="F116" s="1286"/>
      <c r="I116" s="490"/>
    </row>
    <row r="117" spans="1:9">
      <c r="A117" s="484"/>
      <c r="B117" s="484"/>
      <c r="D117" s="1286"/>
      <c r="E117" s="1286"/>
      <c r="F117" s="1286"/>
      <c r="I117" s="490"/>
    </row>
    <row r="118" spans="1:9">
      <c r="A118" s="484"/>
      <c r="B118" s="484"/>
      <c r="D118" s="524"/>
      <c r="E118" s="524"/>
      <c r="F118" s="524"/>
      <c r="I118" s="490"/>
    </row>
    <row r="119" spans="1:9" ht="14.25" customHeight="1">
      <c r="A119" s="484"/>
      <c r="B119" s="485" t="s">
        <v>2746</v>
      </c>
      <c r="D119" s="1306" t="s">
        <v>1104</v>
      </c>
      <c r="E119" s="1306"/>
      <c r="F119" s="1306"/>
      <c r="I119" s="490"/>
    </row>
    <row r="120" spans="1:9">
      <c r="A120" s="484"/>
      <c r="B120" s="484"/>
      <c r="D120" s="1306"/>
      <c r="E120" s="1306"/>
      <c r="F120" s="1306"/>
      <c r="I120" s="490"/>
    </row>
    <row r="121" spans="1:9">
      <c r="A121" s="484"/>
      <c r="B121" s="484"/>
      <c r="D121" s="1306"/>
      <c r="E121" s="1306"/>
      <c r="F121" s="1306"/>
      <c r="I121" s="490"/>
    </row>
    <row r="122" spans="1:9">
      <c r="A122" s="484"/>
      <c r="B122" s="484"/>
      <c r="D122" s="1306"/>
      <c r="E122" s="1306"/>
      <c r="F122" s="1306"/>
      <c r="I122" s="490"/>
    </row>
    <row r="123" spans="1:9">
      <c r="A123" s="484"/>
      <c r="B123" s="484"/>
      <c r="D123" s="1306"/>
      <c r="E123" s="1306"/>
      <c r="F123" s="1306"/>
      <c r="I123" s="490"/>
    </row>
    <row r="124" spans="1:9">
      <c r="A124" s="484"/>
      <c r="B124" s="484"/>
      <c r="D124" s="1306"/>
      <c r="E124" s="1306"/>
      <c r="F124" s="1306"/>
      <c r="I124" s="490"/>
    </row>
    <row r="125" spans="1:9">
      <c r="A125" s="484"/>
      <c r="B125" s="484"/>
      <c r="D125" s="1306"/>
      <c r="E125" s="1306"/>
      <c r="F125" s="1306"/>
      <c r="I125" s="490"/>
    </row>
    <row r="126" spans="1:9">
      <c r="A126" s="484"/>
      <c r="B126" s="484"/>
      <c r="D126" s="1306"/>
      <c r="E126" s="1306"/>
      <c r="F126" s="1306"/>
      <c r="I126" s="490"/>
    </row>
    <row r="127" spans="1:9">
      <c r="C127" s="402"/>
      <c r="D127" s="525"/>
      <c r="E127" s="525"/>
      <c r="F127" s="525"/>
      <c r="I127" s="490"/>
    </row>
    <row r="128" spans="1:9">
      <c r="A128" s="484"/>
      <c r="B128" s="485" t="s">
        <v>2745</v>
      </c>
      <c r="C128" s="402"/>
      <c r="D128" s="1306" t="s">
        <v>2051</v>
      </c>
      <c r="E128" s="1306"/>
      <c r="F128" s="1306"/>
      <c r="I128" s="490"/>
    </row>
    <row r="129" spans="1:9">
      <c r="A129" s="484"/>
      <c r="B129" s="484"/>
      <c r="C129" s="402"/>
      <c r="D129" s="1306"/>
      <c r="E129" s="1306"/>
      <c r="F129" s="1306"/>
      <c r="I129" s="490"/>
    </row>
    <row r="130" spans="1:9">
      <c r="I130" s="490"/>
    </row>
    <row r="131" spans="1:9">
      <c r="A131" s="484"/>
      <c r="B131" s="485" t="s">
        <v>2745</v>
      </c>
      <c r="D131" s="1286" t="s">
        <v>1105</v>
      </c>
      <c r="E131" s="1286"/>
      <c r="F131" s="1286"/>
      <c r="I131" s="490"/>
    </row>
    <row r="132" spans="1:9">
      <c r="D132" s="1286"/>
      <c r="E132" s="1286"/>
      <c r="F132" s="1286"/>
      <c r="I132" s="490"/>
    </row>
    <row r="133" spans="1:9">
      <c r="D133" s="1286"/>
      <c r="E133" s="1286"/>
      <c r="F133" s="1286"/>
      <c r="I133" s="490"/>
    </row>
    <row r="134" spans="1:9">
      <c r="D134" s="1286"/>
      <c r="E134" s="1286"/>
      <c r="F134" s="1286"/>
      <c r="I134" s="490"/>
    </row>
    <row r="135" spans="1:9">
      <c r="D135" s="1286"/>
      <c r="E135" s="1286"/>
      <c r="F135" s="1286"/>
      <c r="I135" s="490"/>
    </row>
    <row r="136" spans="1:9">
      <c r="I136" s="490"/>
    </row>
    <row r="137" spans="1:9">
      <c r="A137" s="484"/>
      <c r="B137" s="485" t="s">
        <v>2745</v>
      </c>
      <c r="D137" s="1286" t="s">
        <v>1106</v>
      </c>
      <c r="E137" s="1286"/>
      <c r="F137" s="1286"/>
      <c r="I137" s="490"/>
    </row>
    <row r="138" spans="1:9" s="417" customFormat="1" ht="13.75" customHeight="1">
      <c r="A138" s="488"/>
      <c r="B138" s="488"/>
      <c r="C138" s="488"/>
      <c r="D138" s="1286"/>
      <c r="E138" s="1286"/>
      <c r="F138" s="1286"/>
      <c r="I138" s="1155"/>
    </row>
    <row r="139" spans="1:9" ht="13.75" customHeight="1">
      <c r="D139" s="1286"/>
      <c r="E139" s="1286"/>
      <c r="F139" s="1286"/>
      <c r="I139" s="490"/>
    </row>
    <row r="140" spans="1:9" ht="13.75" customHeight="1">
      <c r="D140" s="1286"/>
      <c r="E140" s="1286"/>
      <c r="F140" s="1286"/>
      <c r="I140" s="490"/>
    </row>
    <row r="141" spans="1:9" ht="13.75" customHeight="1">
      <c r="D141" s="1286"/>
      <c r="E141" s="1286"/>
      <c r="F141" s="1286"/>
      <c r="I141" s="490"/>
    </row>
    <row r="142" spans="1:9" ht="13.75" customHeight="1">
      <c r="A142" s="489"/>
      <c r="B142" s="489"/>
      <c r="D142" s="1286"/>
      <c r="E142" s="1286"/>
      <c r="F142" s="1286"/>
      <c r="I142" s="490"/>
    </row>
    <row r="143" spans="1:9" ht="13.75" customHeight="1">
      <c r="D143" s="1286"/>
      <c r="E143" s="1286"/>
      <c r="F143" s="1286"/>
      <c r="I143" s="490"/>
    </row>
    <row r="144" spans="1:9" ht="13.75" customHeight="1">
      <c r="D144" s="1286"/>
      <c r="E144" s="1286"/>
      <c r="F144" s="1286"/>
      <c r="I144" s="490"/>
    </row>
    <row r="145" spans="2:9" ht="13.75" customHeight="1">
      <c r="D145" s="1286"/>
      <c r="E145" s="1286"/>
      <c r="F145" s="1286"/>
      <c r="I145" s="490"/>
    </row>
    <row r="146" spans="2:9" ht="13.75" customHeight="1">
      <c r="D146" s="1286"/>
      <c r="E146" s="1286"/>
      <c r="F146" s="1286"/>
      <c r="I146" s="490"/>
    </row>
    <row r="147" spans="2:9" ht="13.75" customHeight="1">
      <c r="D147" s="1286"/>
      <c r="E147" s="1286"/>
      <c r="F147" s="1286"/>
      <c r="I147" s="490"/>
    </row>
    <row r="148" spans="2:9" ht="13.75" customHeight="1">
      <c r="D148" s="1286"/>
      <c r="E148" s="1286"/>
      <c r="F148" s="1286"/>
      <c r="I148" s="490"/>
    </row>
    <row r="149" spans="2:9" ht="13.75" customHeight="1">
      <c r="D149" s="1286"/>
      <c r="E149" s="1286"/>
      <c r="F149" s="1286"/>
      <c r="I149" s="490"/>
    </row>
    <row r="150" spans="2:9" ht="13.75" customHeight="1">
      <c r="D150" s="476"/>
      <c r="E150" s="446"/>
      <c r="F150" s="446"/>
      <c r="I150" s="490"/>
    </row>
    <row r="151" spans="2:9" ht="13.75" customHeight="1">
      <c r="B151" s="485" t="s">
        <v>2746</v>
      </c>
      <c r="D151" s="1286" t="s">
        <v>1178</v>
      </c>
      <c r="E151" s="1286"/>
      <c r="F151" s="1286"/>
      <c r="I151" s="490"/>
    </row>
    <row r="152" spans="2:9" ht="13.75" customHeight="1">
      <c r="D152" s="1286"/>
      <c r="E152" s="1286"/>
      <c r="F152" s="1286"/>
      <c r="I152" s="490"/>
    </row>
    <row r="153" spans="2:9" ht="13.75" customHeight="1">
      <c r="D153" s="1286"/>
      <c r="E153" s="1286"/>
      <c r="F153" s="1286"/>
      <c r="I153" s="490"/>
    </row>
    <row r="154" spans="2:9" ht="13.75" customHeight="1">
      <c r="D154" s="1286"/>
      <c r="E154" s="1286"/>
      <c r="F154" s="1286"/>
      <c r="I154" s="490"/>
    </row>
    <row r="155" spans="2:9" ht="13.75" customHeight="1">
      <c r="D155" s="1286"/>
      <c r="E155" s="1286"/>
      <c r="F155" s="1286"/>
      <c r="I155" s="490"/>
    </row>
    <row r="156" spans="2:9" ht="13.75" customHeight="1">
      <c r="D156" s="1286"/>
      <c r="E156" s="1286"/>
      <c r="F156" s="1286"/>
      <c r="I156" s="490"/>
    </row>
    <row r="157" spans="2:9" ht="13.75" customHeight="1">
      <c r="D157" s="1286"/>
      <c r="E157" s="1286"/>
      <c r="F157" s="1286"/>
      <c r="I157" s="490"/>
    </row>
    <row r="158" spans="2:9" ht="13.75" customHeight="1">
      <c r="D158" s="1286"/>
      <c r="E158" s="1286"/>
      <c r="F158" s="1286"/>
      <c r="I158" s="490"/>
    </row>
    <row r="159" spans="2:9" ht="13.75" customHeight="1">
      <c r="D159" s="1286"/>
      <c r="E159" s="1286"/>
      <c r="F159" s="1286"/>
      <c r="I159" s="490"/>
    </row>
    <row r="160" spans="2:9" ht="13.75" customHeight="1">
      <c r="D160" s="1286"/>
      <c r="E160" s="1286"/>
      <c r="F160" s="1286"/>
      <c r="I160" s="490"/>
    </row>
    <row r="161" spans="1:9" ht="13.75" customHeight="1">
      <c r="D161" s="1286"/>
      <c r="E161" s="1286"/>
      <c r="F161" s="1286"/>
      <c r="I161" s="490"/>
    </row>
    <row r="162" spans="1:9" ht="13.75" customHeight="1">
      <c r="D162" s="1286"/>
      <c r="E162" s="1286"/>
      <c r="F162" s="1286"/>
      <c r="I162" s="490"/>
    </row>
    <row r="163" spans="1:9" ht="13.75" customHeight="1">
      <c r="D163" s="1286"/>
      <c r="E163" s="1286"/>
      <c r="F163" s="1286"/>
      <c r="I163" s="490"/>
    </row>
    <row r="164" spans="1:9" ht="13.75" customHeight="1">
      <c r="D164" s="1286"/>
      <c r="E164" s="1286"/>
      <c r="F164" s="1286"/>
      <c r="I164" s="490"/>
    </row>
    <row r="165" spans="1:9" ht="13.75" customHeight="1">
      <c r="D165" s="1286"/>
      <c r="E165" s="1286"/>
      <c r="F165" s="1286"/>
      <c r="I165" s="490"/>
    </row>
    <row r="166" spans="1:9" ht="13.75" customHeight="1">
      <c r="D166" s="1286"/>
      <c r="E166" s="1286"/>
      <c r="F166" s="1286"/>
      <c r="I166" s="490"/>
    </row>
    <row r="167" spans="1:9" ht="13.75" customHeight="1">
      <c r="D167" s="1286"/>
      <c r="E167" s="1286"/>
      <c r="F167" s="1286"/>
      <c r="I167" s="490"/>
    </row>
    <row r="168" spans="1:9" ht="13.75" customHeight="1">
      <c r="D168" s="1286"/>
      <c r="E168" s="1286"/>
      <c r="F168" s="1286"/>
      <c r="I168" s="490"/>
    </row>
    <row r="169" spans="1:9" ht="13.75" customHeight="1">
      <c r="D169" s="1307" t="s">
        <v>2074</v>
      </c>
      <c r="E169" s="1307"/>
      <c r="F169" s="1307"/>
      <c r="G169" s="507"/>
      <c r="I169" s="490"/>
    </row>
    <row r="170" spans="1:9" ht="13.75" customHeight="1">
      <c r="D170" s="1298"/>
      <c r="E170" s="1298"/>
      <c r="F170" s="1298"/>
      <c r="G170" s="1298"/>
      <c r="I170" s="490"/>
    </row>
    <row r="171" spans="1:9" ht="14.5" customHeight="1">
      <c r="A171" s="489"/>
      <c r="B171" s="485" t="s">
        <v>2745</v>
      </c>
      <c r="C171" s="476"/>
      <c r="D171" s="1266" t="s">
        <v>2214</v>
      </c>
      <c r="E171" s="1266"/>
      <c r="F171" s="1266"/>
      <c r="G171" s="476"/>
      <c r="I171" s="490"/>
    </row>
    <row r="172" spans="1:9" ht="14.5" customHeight="1">
      <c r="A172" s="489"/>
      <c r="B172" s="489"/>
      <c r="C172" s="476"/>
      <c r="D172" s="1266"/>
      <c r="E172" s="1266"/>
      <c r="F172" s="1266"/>
      <c r="G172" s="476"/>
      <c r="I172" s="490"/>
    </row>
    <row r="173" spans="1:9" ht="14.5" customHeight="1">
      <c r="A173" s="489"/>
      <c r="B173" s="489"/>
      <c r="C173" s="476"/>
      <c r="D173" s="1266"/>
      <c r="E173" s="1266"/>
      <c r="F173" s="1266"/>
      <c r="G173" s="476"/>
      <c r="I173" s="490"/>
    </row>
    <row r="174" spans="1:9" ht="14.5" customHeight="1">
      <c r="A174" s="489"/>
      <c r="B174" s="489"/>
      <c r="C174" s="476"/>
      <c r="D174" s="1266"/>
      <c r="E174" s="1266"/>
      <c r="F174" s="1266"/>
      <c r="G174" s="476"/>
      <c r="I174" s="490"/>
    </row>
    <row r="175" spans="1:9" ht="13.75" customHeight="1">
      <c r="A175" s="489"/>
      <c r="B175" s="489"/>
      <c r="C175" s="476"/>
      <c r="D175" s="1266"/>
      <c r="E175" s="1266"/>
      <c r="F175" s="1266"/>
      <c r="G175" s="476"/>
      <c r="I175" s="490"/>
    </row>
    <row r="176" spans="1:9" ht="13.75" customHeight="1">
      <c r="A176" s="489"/>
      <c r="B176" s="489"/>
      <c r="C176" s="476"/>
      <c r="D176" s="476"/>
      <c r="E176" s="476"/>
      <c r="F176" s="476"/>
      <c r="G176" s="476"/>
      <c r="I176" s="490"/>
    </row>
    <row r="177" spans="1:9" ht="13.75" customHeight="1">
      <c r="A177" s="489"/>
      <c r="B177" s="485" t="s">
        <v>2746</v>
      </c>
      <c r="C177" s="476"/>
      <c r="D177" s="1266" t="s">
        <v>1107</v>
      </c>
      <c r="E177" s="1266"/>
      <c r="F177" s="1266"/>
      <c r="G177" s="476"/>
      <c r="I177" s="490"/>
    </row>
    <row r="178" spans="1:9" ht="13.75" customHeight="1">
      <c r="A178" s="489"/>
      <c r="B178" s="489"/>
      <c r="C178" s="476"/>
      <c r="D178" s="1266"/>
      <c r="E178" s="1266"/>
      <c r="F178" s="1266"/>
      <c r="G178" s="476"/>
      <c r="I178" s="490"/>
    </row>
    <row r="179" spans="1:9" ht="13.75" customHeight="1">
      <c r="A179" s="489"/>
      <c r="B179" s="489"/>
      <c r="C179" s="476"/>
      <c r="D179" s="1266"/>
      <c r="E179" s="1266"/>
      <c r="F179" s="1266"/>
      <c r="G179" s="476"/>
      <c r="I179" s="490"/>
    </row>
    <row r="180" spans="1:9" ht="13.75" customHeight="1">
      <c r="A180" s="489"/>
      <c r="B180" s="489"/>
      <c r="C180" s="476"/>
      <c r="D180" s="1266"/>
      <c r="E180" s="1266"/>
      <c r="F180" s="1266"/>
      <c r="G180" s="476"/>
      <c r="I180" s="490"/>
    </row>
    <row r="181" spans="1:9" ht="13.75" customHeight="1">
      <c r="D181" s="446"/>
      <c r="E181" s="446"/>
      <c r="F181" s="446"/>
      <c r="I181" s="490"/>
    </row>
    <row r="182" spans="1:9" ht="13.75" customHeight="1">
      <c r="B182" s="485" t="s">
        <v>2746</v>
      </c>
      <c r="D182" s="1290" t="s">
        <v>2052</v>
      </c>
      <c r="E182" s="1290"/>
      <c r="F182" s="1290"/>
      <c r="I182" s="490"/>
    </row>
    <row r="183" spans="1:9" ht="13.75" customHeight="1">
      <c r="D183" s="1290"/>
      <c r="E183" s="1290"/>
      <c r="F183" s="1290"/>
      <c r="I183" s="490"/>
    </row>
    <row r="184" spans="1:9" ht="13.75" customHeight="1">
      <c r="D184" s="1290"/>
      <c r="E184" s="1290"/>
      <c r="F184" s="1290"/>
      <c r="I184" s="490"/>
    </row>
    <row r="185" spans="1:9" ht="13.75" customHeight="1">
      <c r="A185" s="490"/>
      <c r="B185" s="490"/>
      <c r="E185" s="446"/>
      <c r="F185" s="446"/>
      <c r="I185" s="490"/>
    </row>
    <row r="186" spans="1:9">
      <c r="A186" s="1289" t="s">
        <v>2053</v>
      </c>
      <c r="B186" s="1289"/>
      <c r="C186" s="1289"/>
      <c r="D186" s="1289"/>
      <c r="E186" s="1289"/>
      <c r="F186" s="1289"/>
      <c r="G186" s="1289"/>
      <c r="H186" s="1028"/>
      <c r="I186" s="1153"/>
    </row>
    <row r="187" spans="1:9" ht="12" customHeight="1">
      <c r="D187" s="446"/>
      <c r="E187" s="446"/>
      <c r="F187" s="446"/>
      <c r="I187" s="490"/>
    </row>
    <row r="188" spans="1:9">
      <c r="B188" s="1292" t="s">
        <v>447</v>
      </c>
      <c r="C188" s="1292"/>
      <c r="D188" s="1292"/>
      <c r="E188" s="1292"/>
      <c r="F188" s="1292"/>
      <c r="I188" s="490"/>
    </row>
    <row r="189" spans="1:9">
      <c r="B189" s="392" t="s">
        <v>1876</v>
      </c>
      <c r="C189" s="392"/>
      <c r="D189" s="392"/>
      <c r="E189" s="392"/>
      <c r="F189" s="392"/>
      <c r="I189" s="490"/>
    </row>
    <row r="190" spans="1:9" ht="12" customHeight="1">
      <c r="A190" s="482"/>
      <c r="B190" s="482"/>
      <c r="C190" s="482"/>
      <c r="I190" s="490"/>
    </row>
    <row r="191" spans="1:9">
      <c r="A191" s="1289" t="s">
        <v>1046</v>
      </c>
      <c r="B191" s="1289"/>
      <c r="C191" s="1289"/>
      <c r="D191" s="1289"/>
      <c r="E191" s="1289"/>
      <c r="F191" s="1289"/>
      <c r="G191" s="1289"/>
      <c r="H191" s="1028"/>
      <c r="I191" s="1153"/>
    </row>
    <row r="192" spans="1:9" ht="12" customHeight="1">
      <c r="A192" s="404"/>
      <c r="B192" s="404"/>
      <c r="E192" s="404"/>
      <c r="I192" s="490"/>
    </row>
    <row r="193" spans="1:9" ht="13.75" customHeight="1">
      <c r="A193" s="404"/>
      <c r="B193" s="404"/>
      <c r="D193" s="1288" t="s">
        <v>1747</v>
      </c>
      <c r="E193" s="1288"/>
      <c r="F193" s="1288"/>
      <c r="I193" s="490"/>
    </row>
    <row r="194" spans="1:9">
      <c r="A194" s="404"/>
      <c r="B194" s="404"/>
      <c r="D194" s="1288"/>
      <c r="E194" s="1288"/>
      <c r="F194" s="1288"/>
      <c r="I194" s="490"/>
    </row>
    <row r="195" spans="1:9">
      <c r="A195" s="404"/>
      <c r="B195" s="404"/>
      <c r="D195" s="1292" t="s">
        <v>1196</v>
      </c>
      <c r="E195" s="1292"/>
      <c r="F195" s="1292"/>
      <c r="I195" s="490"/>
    </row>
    <row r="196" spans="1:9">
      <c r="A196" s="404"/>
      <c r="B196" s="404"/>
      <c r="D196" s="392"/>
      <c r="E196" s="392"/>
      <c r="F196" s="392"/>
      <c r="I196" s="490"/>
    </row>
    <row r="197" spans="1:9">
      <c r="A197" s="404"/>
      <c r="B197" s="485" t="s">
        <v>2745</v>
      </c>
      <c r="D197" s="1303" t="s">
        <v>1748</v>
      </c>
      <c r="E197" s="1303"/>
      <c r="F197" s="1303"/>
      <c r="I197" s="490"/>
    </row>
    <row r="198" spans="1:9">
      <c r="A198" s="404"/>
      <c r="B198" s="404"/>
      <c r="D198" s="1304" t="s">
        <v>1903</v>
      </c>
      <c r="E198" s="1304"/>
      <c r="F198" s="1304"/>
      <c r="I198" s="490"/>
    </row>
    <row r="199" spans="1:9">
      <c r="A199" s="404"/>
      <c r="B199" s="404"/>
      <c r="D199" s="96" t="s">
        <v>1749</v>
      </c>
      <c r="E199" s="1305" t="s">
        <v>1926</v>
      </c>
      <c r="F199" s="1305"/>
      <c r="I199" s="490"/>
    </row>
    <row r="200" spans="1:9">
      <c r="A200" s="404"/>
      <c r="B200" s="404"/>
      <c r="D200" s="3"/>
      <c r="E200" s="3"/>
      <c r="F200" s="3"/>
      <c r="I200" s="490"/>
    </row>
    <row r="201" spans="1:9">
      <c r="A201" s="404"/>
      <c r="B201" s="485" t="s">
        <v>2746</v>
      </c>
      <c r="D201" s="1304" t="s">
        <v>1750</v>
      </c>
      <c r="E201" s="1304"/>
      <c r="F201" s="1304"/>
      <c r="I201" s="490"/>
    </row>
    <row r="202" spans="1:9">
      <c r="A202" s="404"/>
      <c r="B202" s="404"/>
      <c r="D202" s="1303" t="s">
        <v>1903</v>
      </c>
      <c r="E202" s="1303"/>
      <c r="F202" s="1303"/>
      <c r="I202" s="490"/>
    </row>
    <row r="203" spans="1:9">
      <c r="A203" s="404"/>
      <c r="B203" s="404"/>
      <c r="D203" s="57" t="s">
        <v>1751</v>
      </c>
      <c r="E203" s="1305" t="s">
        <v>1927</v>
      </c>
      <c r="F203" s="1305"/>
      <c r="I203" s="490"/>
    </row>
    <row r="204" spans="1:9">
      <c r="A204" s="404"/>
      <c r="B204" s="404"/>
      <c r="D204" s="3"/>
      <c r="E204" s="3"/>
      <c r="F204" s="3"/>
      <c r="I204" s="490"/>
    </row>
    <row r="205" spans="1:9">
      <c r="A205" s="404"/>
      <c r="B205" s="485" t="s">
        <v>2746</v>
      </c>
      <c r="D205" s="1304" t="s">
        <v>1752</v>
      </c>
      <c r="E205" s="1304"/>
      <c r="F205" s="1304"/>
      <c r="I205" s="490"/>
    </row>
    <row r="206" spans="1:9">
      <c r="A206" s="404"/>
      <c r="B206" s="404"/>
      <c r="D206" s="1303" t="s">
        <v>1903</v>
      </c>
      <c r="E206" s="1303"/>
      <c r="F206" s="1303"/>
      <c r="I206" s="490"/>
    </row>
    <row r="207" spans="1:9">
      <c r="A207" s="404"/>
      <c r="B207" s="404"/>
      <c r="D207" s="57" t="s">
        <v>1749</v>
      </c>
      <c r="E207" s="1305" t="s">
        <v>1928</v>
      </c>
      <c r="F207" s="1305"/>
      <c r="I207" s="490"/>
    </row>
    <row r="208" spans="1:9">
      <c r="A208" s="404"/>
      <c r="B208" s="404"/>
      <c r="D208" s="392"/>
      <c r="E208" s="392"/>
      <c r="F208" s="392"/>
      <c r="I208" s="490"/>
    </row>
    <row r="209" spans="1:9" ht="14.25" customHeight="1">
      <c r="A209" s="484"/>
      <c r="B209" s="485" t="s">
        <v>2746</v>
      </c>
      <c r="D209" s="386" t="s">
        <v>1896</v>
      </c>
      <c r="E209" s="385"/>
      <c r="F209" s="385"/>
      <c r="I209" s="490"/>
    </row>
    <row r="210" spans="1:9">
      <c r="A210" s="484"/>
      <c r="B210" s="484"/>
      <c r="D210" s="1303" t="s">
        <v>1903</v>
      </c>
      <c r="E210" s="1303"/>
      <c r="F210" s="1303"/>
      <c r="I210" s="490"/>
    </row>
    <row r="211" spans="1:9">
      <c r="D211" s="385"/>
      <c r="E211" s="1305" t="s">
        <v>1929</v>
      </c>
      <c r="F211" s="1305"/>
      <c r="I211" s="490"/>
    </row>
    <row r="212" spans="1:9">
      <c r="D212" s="447"/>
      <c r="I212" s="490"/>
    </row>
    <row r="213" spans="1:9">
      <c r="B213" s="485" t="s">
        <v>2746</v>
      </c>
      <c r="D213" s="1304" t="s">
        <v>1753</v>
      </c>
      <c r="E213" s="1304"/>
      <c r="F213" s="1304"/>
      <c r="I213" s="490"/>
    </row>
    <row r="214" spans="1:9">
      <c r="D214" s="1303" t="s">
        <v>1903</v>
      </c>
      <c r="E214" s="1303"/>
      <c r="F214" s="1303"/>
      <c r="I214" s="490"/>
    </row>
    <row r="215" spans="1:9">
      <c r="D215" s="57" t="s">
        <v>1749</v>
      </c>
      <c r="E215" s="1305" t="s">
        <v>1930</v>
      </c>
      <c r="F215" s="1305"/>
      <c r="I215" s="490"/>
    </row>
    <row r="216" spans="1:9">
      <c r="D216" s="451"/>
      <c r="E216" s="451"/>
      <c r="F216" s="451"/>
      <c r="I216" s="490"/>
    </row>
    <row r="217" spans="1:9">
      <c r="A217" s="484"/>
      <c r="B217" s="485" t="s">
        <v>2746</v>
      </c>
      <c r="D217" s="1286" t="s">
        <v>1217</v>
      </c>
      <c r="E217" s="1286"/>
      <c r="F217" s="1286"/>
      <c r="I217" s="490"/>
    </row>
    <row r="218" spans="1:9" ht="14.5" customHeight="1">
      <c r="A218" s="484"/>
      <c r="B218" s="402"/>
      <c r="D218" s="1286"/>
      <c r="E218" s="1286"/>
      <c r="F218" s="1286"/>
      <c r="I218" s="490"/>
    </row>
    <row r="219" spans="1:9">
      <c r="A219" s="484"/>
      <c r="D219" s="1286"/>
      <c r="E219" s="1286"/>
      <c r="F219" s="1286"/>
      <c r="I219" s="490"/>
    </row>
    <row r="220" spans="1:9">
      <c r="A220" s="484"/>
      <c r="D220" s="1286"/>
      <c r="E220" s="1286"/>
      <c r="F220" s="1286"/>
      <c r="I220" s="490"/>
    </row>
    <row r="221" spans="1:9">
      <c r="D221" s="451"/>
      <c r="E221" s="451"/>
      <c r="F221" s="451"/>
      <c r="I221" s="490"/>
    </row>
    <row r="222" spans="1:9">
      <c r="A222" s="1289" t="s">
        <v>1047</v>
      </c>
      <c r="B222" s="1289"/>
      <c r="C222" s="1289"/>
      <c r="D222" s="1289"/>
      <c r="E222" s="1289"/>
      <c r="F222" s="1289"/>
      <c r="G222" s="1289"/>
      <c r="H222" s="1028"/>
      <c r="I222" s="1153"/>
    </row>
    <row r="223" spans="1:9" ht="12" customHeight="1">
      <c r="D223" s="446"/>
      <c r="E223" s="446"/>
      <c r="F223" s="446"/>
      <c r="I223" s="490"/>
    </row>
    <row r="224" spans="1:9">
      <c r="C224" s="486"/>
      <c r="D224" s="1294" t="s">
        <v>208</v>
      </c>
      <c r="E224" s="1294"/>
      <c r="F224" s="1294"/>
      <c r="I224" s="490"/>
    </row>
    <row r="225" spans="1:9">
      <c r="A225" s="482"/>
      <c r="B225" s="482"/>
      <c r="C225" s="482"/>
      <c r="D225" s="1287" t="s">
        <v>1121</v>
      </c>
      <c r="E225" s="1287"/>
      <c r="F225" s="1287"/>
      <c r="I225" s="490"/>
    </row>
    <row r="226" spans="1:9" ht="12" customHeight="1">
      <c r="A226" s="490"/>
      <c r="B226" s="490"/>
      <c r="C226" s="490"/>
      <c r="I226" s="490"/>
    </row>
    <row r="227" spans="1:9" ht="13.75" customHeight="1">
      <c r="A227" s="490"/>
      <c r="C227" s="490"/>
      <c r="D227" s="1294" t="s">
        <v>547</v>
      </c>
      <c r="E227" s="1294"/>
      <c r="F227" s="1294"/>
      <c r="I227" s="490"/>
    </row>
    <row r="228" spans="1:9">
      <c r="A228" s="484"/>
      <c r="B228" s="485" t="s">
        <v>2745</v>
      </c>
      <c r="D228" s="1286" t="s">
        <v>1754</v>
      </c>
      <c r="E228" s="1286"/>
      <c r="F228" s="1286"/>
      <c r="I228" s="490"/>
    </row>
    <row r="229" spans="1:9" ht="14.25" customHeight="1">
      <c r="A229" s="484"/>
      <c r="B229" s="484"/>
      <c r="D229" s="1286"/>
      <c r="E229" s="1286"/>
      <c r="F229" s="1286"/>
      <c r="I229" s="490"/>
    </row>
    <row r="230" spans="1:9" ht="14.25" customHeight="1">
      <c r="A230" s="484"/>
      <c r="B230" s="484"/>
      <c r="D230" s="1286"/>
      <c r="E230" s="1286"/>
      <c r="F230" s="1286"/>
      <c r="I230" s="490"/>
    </row>
    <row r="231" spans="1:9">
      <c r="A231" s="484"/>
      <c r="B231" s="484"/>
      <c r="D231" s="1286"/>
      <c r="E231" s="1286"/>
      <c r="F231" s="1286"/>
      <c r="I231" s="490"/>
    </row>
    <row r="232" spans="1:9">
      <c r="A232" s="484"/>
      <c r="B232" s="484"/>
      <c r="D232" s="445"/>
      <c r="E232" s="445"/>
      <c r="F232" s="445"/>
      <c r="I232" s="490"/>
    </row>
    <row r="233" spans="1:9">
      <c r="A233" s="484"/>
      <c r="B233" s="485" t="s">
        <v>2745</v>
      </c>
      <c r="D233" s="1286" t="s">
        <v>1755</v>
      </c>
      <c r="E233" s="1286"/>
      <c r="F233" s="1286"/>
      <c r="I233" s="490"/>
    </row>
    <row r="234" spans="1:9">
      <c r="A234" s="484"/>
      <c r="B234" s="484"/>
      <c r="D234" s="1286"/>
      <c r="E234" s="1286"/>
      <c r="F234" s="1286"/>
      <c r="I234" s="490"/>
    </row>
    <row r="235" spans="1:9">
      <c r="A235" s="484"/>
      <c r="B235" s="484"/>
      <c r="D235" s="1286"/>
      <c r="E235" s="1286"/>
      <c r="F235" s="1286"/>
      <c r="I235" s="490"/>
    </row>
    <row r="236" spans="1:9">
      <c r="A236" s="484"/>
      <c r="B236" s="484"/>
      <c r="D236" s="1286"/>
      <c r="E236" s="1286"/>
      <c r="F236" s="1286"/>
      <c r="I236" s="490"/>
    </row>
    <row r="237" spans="1:9" ht="14.25" customHeight="1">
      <c r="A237" s="484"/>
      <c r="B237" s="484"/>
      <c r="D237" s="1286"/>
      <c r="E237" s="1286"/>
      <c r="F237" s="1286"/>
      <c r="I237" s="490"/>
    </row>
    <row r="238" spans="1:9" ht="14.25" customHeight="1">
      <c r="A238" s="484"/>
      <c r="B238" s="484"/>
      <c r="D238" s="445"/>
      <c r="E238" s="445"/>
      <c r="F238" s="445"/>
      <c r="I238" s="490"/>
    </row>
    <row r="239" spans="1:9">
      <c r="A239" s="484"/>
      <c r="B239" s="484"/>
      <c r="D239" s="1286" t="s">
        <v>1119</v>
      </c>
      <c r="E239" s="1286"/>
      <c r="F239" s="1286"/>
      <c r="I239" s="490"/>
    </row>
    <row r="240" spans="1:9">
      <c r="A240" s="484"/>
      <c r="B240" s="484"/>
      <c r="D240" s="1286"/>
      <c r="E240" s="1286"/>
      <c r="F240" s="1286"/>
      <c r="I240" s="490"/>
    </row>
    <row r="241" spans="1:9">
      <c r="A241" s="484"/>
      <c r="B241" s="484"/>
      <c r="D241" s="1286"/>
      <c r="E241" s="1286"/>
      <c r="F241" s="1286"/>
      <c r="I241" s="490"/>
    </row>
    <row r="242" spans="1:9">
      <c r="A242" s="484"/>
      <c r="B242" s="484"/>
      <c r="D242" s="1286"/>
      <c r="E242" s="1286"/>
      <c r="F242" s="1286"/>
      <c r="I242" s="490"/>
    </row>
    <row r="243" spans="1:9">
      <c r="A243" s="484"/>
      <c r="B243" s="484"/>
      <c r="D243" s="1286"/>
      <c r="E243" s="1286"/>
      <c r="F243" s="1286"/>
      <c r="I243" s="490"/>
    </row>
    <row r="244" spans="1:9">
      <c r="A244" s="484"/>
      <c r="B244" s="484"/>
      <c r="D244" s="446"/>
      <c r="E244" s="446"/>
      <c r="F244" s="446"/>
      <c r="I244" s="490"/>
    </row>
    <row r="245" spans="1:9">
      <c r="A245" s="484"/>
      <c r="B245" s="485" t="s">
        <v>2746</v>
      </c>
      <c r="D245" s="1286" t="s">
        <v>2054</v>
      </c>
      <c r="E245" s="1286"/>
      <c r="F245" s="1286"/>
      <c r="I245" s="490"/>
    </row>
    <row r="246" spans="1:9">
      <c r="A246" s="484"/>
      <c r="B246" s="484"/>
      <c r="D246" s="1286"/>
      <c r="E246" s="1286"/>
      <c r="F246" s="1286"/>
      <c r="I246" s="490"/>
    </row>
    <row r="247" spans="1:9">
      <c r="A247" s="484"/>
      <c r="B247" s="484"/>
      <c r="D247" s="1286"/>
      <c r="E247" s="1286"/>
      <c r="F247" s="1286"/>
      <c r="I247" s="490"/>
    </row>
    <row r="248" spans="1:9">
      <c r="A248" s="484"/>
      <c r="B248" s="484"/>
      <c r="E248" s="1036" t="s">
        <v>1897</v>
      </c>
      <c r="I248" s="490"/>
    </row>
    <row r="249" spans="1:9">
      <c r="A249" s="484"/>
      <c r="B249" s="484"/>
      <c r="D249" s="446"/>
      <c r="E249" s="446"/>
      <c r="F249" s="446"/>
      <c r="I249" s="490"/>
    </row>
    <row r="250" spans="1:9" ht="14.5" customHeight="1">
      <c r="A250" s="484"/>
      <c r="B250" s="485" t="s">
        <v>2746</v>
      </c>
      <c r="D250" s="1286" t="s">
        <v>2055</v>
      </c>
      <c r="E250" s="1286"/>
      <c r="F250" s="1286"/>
      <c r="I250" s="490"/>
    </row>
    <row r="251" spans="1:9">
      <c r="A251" s="484"/>
      <c r="B251" s="484"/>
      <c r="D251" s="1286"/>
      <c r="E251" s="1286"/>
      <c r="F251" s="1286"/>
      <c r="I251" s="490"/>
    </row>
    <row r="252" spans="1:9">
      <c r="A252" s="484"/>
      <c r="B252" s="484"/>
      <c r="D252" s="1286"/>
      <c r="E252" s="1286"/>
      <c r="F252" s="1286"/>
      <c r="I252" s="490"/>
    </row>
    <row r="253" spans="1:9">
      <c r="A253" s="484"/>
      <c r="B253" s="484"/>
      <c r="D253" s="1286"/>
      <c r="E253" s="1286"/>
      <c r="F253" s="1286"/>
      <c r="I253" s="490"/>
    </row>
    <row r="254" spans="1:9">
      <c r="A254" s="484"/>
      <c r="B254" s="484"/>
      <c r="D254" s="1286"/>
      <c r="E254" s="1286"/>
      <c r="F254" s="1286"/>
      <c r="I254" s="490"/>
    </row>
    <row r="255" spans="1:9">
      <c r="A255" s="484"/>
      <c r="B255" s="484"/>
      <c r="D255" s="445"/>
      <c r="E255" s="445"/>
      <c r="F255" s="445"/>
      <c r="I255" s="490"/>
    </row>
    <row r="256" spans="1:9">
      <c r="A256" s="484"/>
      <c r="B256" s="485" t="s">
        <v>2745</v>
      </c>
      <c r="D256" s="392" t="s">
        <v>2056</v>
      </c>
      <c r="E256" s="445"/>
      <c r="F256" s="445"/>
      <c r="I256" s="490"/>
    </row>
    <row r="257" spans="1:9">
      <c r="A257" s="484"/>
      <c r="B257" s="484"/>
      <c r="E257" s="1036" t="s">
        <v>1898</v>
      </c>
      <c r="I257" s="490"/>
    </row>
    <row r="258" spans="1:9">
      <c r="D258" s="446"/>
      <c r="E258" s="446"/>
      <c r="F258" s="446"/>
      <c r="I258" s="490"/>
    </row>
    <row r="259" spans="1:9">
      <c r="A259" s="484"/>
      <c r="B259" s="485" t="s">
        <v>2745</v>
      </c>
      <c r="D259" s="1286" t="s">
        <v>1120</v>
      </c>
      <c r="E259" s="1286"/>
      <c r="F259" s="1286"/>
      <c r="I259" s="490"/>
    </row>
    <row r="260" spans="1:9">
      <c r="A260" s="484"/>
      <c r="B260" s="484"/>
      <c r="D260" s="1286"/>
      <c r="E260" s="1286"/>
      <c r="F260" s="1286"/>
      <c r="I260" s="490"/>
    </row>
    <row r="261" spans="1:9">
      <c r="D261" s="491"/>
      <c r="I261" s="490"/>
    </row>
    <row r="262" spans="1:9">
      <c r="A262" s="1289" t="s">
        <v>1048</v>
      </c>
      <c r="B262" s="1289"/>
      <c r="C262" s="1289"/>
      <c r="D262" s="1289"/>
      <c r="E262" s="1289"/>
      <c r="F262" s="1289"/>
      <c r="G262" s="1289"/>
      <c r="H262" s="1028"/>
      <c r="I262" s="1153"/>
    </row>
    <row r="263" spans="1:9">
      <c r="D263" s="491"/>
      <c r="I263" s="490"/>
    </row>
    <row r="264" spans="1:9">
      <c r="C264" s="486"/>
      <c r="D264" s="1294" t="s">
        <v>1122</v>
      </c>
      <c r="E264" s="1294"/>
      <c r="F264" s="1294"/>
      <c r="I264" s="490"/>
    </row>
    <row r="265" spans="1:9">
      <c r="A265" s="482"/>
      <c r="B265" s="482"/>
      <c r="C265" s="482"/>
      <c r="D265" s="446"/>
      <c r="E265" s="446"/>
      <c r="F265" s="446"/>
      <c r="I265" s="490"/>
    </row>
    <row r="266" spans="1:9">
      <c r="A266" s="483"/>
      <c r="B266" s="483"/>
      <c r="C266" s="483"/>
      <c r="D266" s="1294" t="s">
        <v>269</v>
      </c>
      <c r="E266" s="1294"/>
      <c r="F266" s="1294"/>
      <c r="I266" s="490"/>
    </row>
    <row r="267" spans="1:9" ht="14.5" customHeight="1">
      <c r="A267" s="484"/>
      <c r="B267" s="485" t="s">
        <v>2745</v>
      </c>
      <c r="D267" s="1286" t="s">
        <v>1197</v>
      </c>
      <c r="E267" s="1286"/>
      <c r="F267" s="1286"/>
      <c r="I267" s="490"/>
    </row>
    <row r="268" spans="1:9">
      <c r="D268" s="1286"/>
      <c r="E268" s="1286"/>
      <c r="F268" s="1286"/>
      <c r="I268" s="490"/>
    </row>
    <row r="269" spans="1:9">
      <c r="E269" s="1036" t="s">
        <v>1899</v>
      </c>
      <c r="I269" s="490"/>
    </row>
    <row r="270" spans="1:9">
      <c r="D270" s="446"/>
      <c r="E270" s="446"/>
      <c r="F270" s="446"/>
      <c r="I270" s="490"/>
    </row>
    <row r="271" spans="1:9" ht="14.5" customHeight="1">
      <c r="A271" s="484"/>
      <c r="B271" s="485" t="s">
        <v>2746</v>
      </c>
      <c r="D271" s="1286" t="s">
        <v>2057</v>
      </c>
      <c r="E271" s="1286"/>
      <c r="F271" s="1286"/>
      <c r="I271" s="490"/>
    </row>
    <row r="272" spans="1:9">
      <c r="D272" s="1286"/>
      <c r="E272" s="1286"/>
      <c r="F272" s="1286"/>
      <c r="I272" s="490"/>
    </row>
    <row r="273" spans="1:9">
      <c r="D273" s="1286"/>
      <c r="E273" s="1286"/>
      <c r="F273" s="1286"/>
      <c r="I273" s="490"/>
    </row>
    <row r="274" spans="1:9">
      <c r="D274" s="1286"/>
      <c r="E274" s="1286"/>
      <c r="F274" s="1286"/>
      <c r="I274" s="490"/>
    </row>
    <row r="275" spans="1:9">
      <c r="D275" s="1286"/>
      <c r="E275" s="1286"/>
      <c r="F275" s="1286"/>
      <c r="I275" s="490"/>
    </row>
    <row r="276" spans="1:9">
      <c r="D276" s="1286"/>
      <c r="E276" s="1286"/>
      <c r="F276" s="1286"/>
      <c r="I276" s="490"/>
    </row>
    <row r="277" spans="1:9">
      <c r="D277" s="446"/>
      <c r="E277" s="446"/>
      <c r="F277" s="446"/>
      <c r="I277" s="490"/>
    </row>
    <row r="278" spans="1:9">
      <c r="A278" s="484"/>
      <c r="B278" s="485" t="s">
        <v>2746</v>
      </c>
      <c r="D278" s="1286" t="s">
        <v>1123</v>
      </c>
      <c r="E278" s="1286"/>
      <c r="F278" s="1286"/>
      <c r="I278" s="490"/>
    </row>
    <row r="279" spans="1:9">
      <c r="D279" s="1286"/>
      <c r="E279" s="1286"/>
      <c r="F279" s="1286"/>
      <c r="I279" s="490"/>
    </row>
    <row r="280" spans="1:9">
      <c r="D280" s="1286"/>
      <c r="E280" s="1286"/>
      <c r="F280" s="1286"/>
      <c r="I280" s="490"/>
    </row>
    <row r="281" spans="1:9">
      <c r="D281" s="492"/>
      <c r="E281" s="446"/>
      <c r="F281" s="446"/>
      <c r="I281" s="490"/>
    </row>
    <row r="282" spans="1:9">
      <c r="A282" s="1289" t="s">
        <v>1049</v>
      </c>
      <c r="B282" s="1289"/>
      <c r="C282" s="1289"/>
      <c r="D282" s="1289"/>
      <c r="E282" s="1289"/>
      <c r="F282" s="1289"/>
      <c r="G282" s="1289"/>
      <c r="H282" s="1028"/>
      <c r="I282" s="1153"/>
    </row>
    <row r="283" spans="1:9">
      <c r="D283" s="492"/>
      <c r="E283" s="446"/>
      <c r="F283" s="446"/>
      <c r="I283" s="490"/>
    </row>
    <row r="284" spans="1:9">
      <c r="C284" s="482"/>
      <c r="D284" s="1288" t="s">
        <v>1124</v>
      </c>
      <c r="E284" s="1288"/>
      <c r="F284" s="1288"/>
      <c r="I284" s="490"/>
    </row>
    <row r="285" spans="1:9">
      <c r="C285" s="482"/>
      <c r="D285" s="1288"/>
      <c r="E285" s="1288"/>
      <c r="F285" s="1288"/>
      <c r="I285" s="490"/>
    </row>
    <row r="286" spans="1:9">
      <c r="A286" s="483"/>
      <c r="B286" s="483"/>
      <c r="C286" s="483"/>
      <c r="D286" s="404"/>
      <c r="I286" s="490"/>
    </row>
    <row r="287" spans="1:9">
      <c r="C287" s="483"/>
      <c r="D287" s="1294" t="s">
        <v>209</v>
      </c>
      <c r="E287" s="1294"/>
      <c r="F287" s="1294"/>
      <c r="I287" s="490"/>
    </row>
    <row r="288" spans="1:9" ht="15.75" customHeight="1">
      <c r="A288" s="484"/>
      <c r="B288" s="484"/>
      <c r="D288" s="1301" t="s">
        <v>1125</v>
      </c>
      <c r="E288" s="1301"/>
      <c r="F288" s="1301"/>
      <c r="I288" s="490"/>
    </row>
    <row r="289" spans="1:9">
      <c r="E289" s="446"/>
      <c r="F289" s="446"/>
      <c r="I289" s="490"/>
    </row>
    <row r="290" spans="1:9">
      <c r="A290" s="484"/>
      <c r="B290" s="485" t="s">
        <v>2746</v>
      </c>
      <c r="D290" s="1286" t="s">
        <v>1126</v>
      </c>
      <c r="E290" s="1286"/>
      <c r="F290" s="1286"/>
      <c r="I290" s="490"/>
    </row>
    <row r="291" spans="1:9">
      <c r="A291" s="484"/>
      <c r="B291" s="484"/>
      <c r="D291" s="1286"/>
      <c r="E291" s="1286"/>
      <c r="F291" s="1286"/>
      <c r="I291" s="490"/>
    </row>
    <row r="292" spans="1:9">
      <c r="D292" s="446"/>
      <c r="E292" s="446"/>
      <c r="F292" s="446"/>
      <c r="I292" s="490"/>
    </row>
    <row r="293" spans="1:9">
      <c r="A293" s="484"/>
      <c r="B293" s="485" t="s">
        <v>2746</v>
      </c>
      <c r="D293" s="1286" t="s">
        <v>1127</v>
      </c>
      <c r="E293" s="1286"/>
      <c r="F293" s="1286"/>
      <c r="I293" s="490"/>
    </row>
    <row r="294" spans="1:9">
      <c r="A294" s="484"/>
      <c r="B294" s="484"/>
      <c r="D294" s="1286"/>
      <c r="E294" s="1286"/>
      <c r="F294" s="1286"/>
      <c r="I294" s="490"/>
    </row>
    <row r="295" spans="1:9">
      <c r="A295" s="484"/>
      <c r="B295" s="484"/>
      <c r="D295" s="1286"/>
      <c r="E295" s="1286"/>
      <c r="F295" s="1286"/>
      <c r="I295" s="490"/>
    </row>
    <row r="296" spans="1:9">
      <c r="D296" s="446"/>
      <c r="E296" s="446"/>
      <c r="F296" s="446"/>
      <c r="I296" s="490"/>
    </row>
    <row r="297" spans="1:9">
      <c r="A297" s="484"/>
      <c r="B297" s="485" t="s">
        <v>2746</v>
      </c>
      <c r="D297" s="1286" t="s">
        <v>1128</v>
      </c>
      <c r="E297" s="1286"/>
      <c r="F297" s="1286"/>
      <c r="I297" s="490"/>
    </row>
    <row r="298" spans="1:9">
      <c r="A298" s="484"/>
      <c r="B298" s="484"/>
      <c r="D298" s="1286"/>
      <c r="E298" s="1286"/>
      <c r="F298" s="1286"/>
      <c r="I298" s="490"/>
    </row>
    <row r="299" spans="1:9">
      <c r="A299" s="490"/>
      <c r="B299" s="490"/>
      <c r="E299" s="446"/>
      <c r="F299" s="446"/>
      <c r="I299" s="490"/>
    </row>
    <row r="300" spans="1:9">
      <c r="A300" s="1289" t="s">
        <v>1050</v>
      </c>
      <c r="B300" s="1289"/>
      <c r="C300" s="1289"/>
      <c r="D300" s="1289"/>
      <c r="E300" s="1289"/>
      <c r="F300" s="1289"/>
      <c r="G300" s="1289"/>
      <c r="H300" s="1028"/>
      <c r="I300" s="1153"/>
    </row>
    <row r="301" spans="1:9">
      <c r="A301" s="490"/>
      <c r="B301" s="490"/>
      <c r="D301" s="446"/>
      <c r="E301" s="446"/>
      <c r="F301" s="446"/>
      <c r="I301" s="490"/>
    </row>
    <row r="302" spans="1:9">
      <c r="C302" s="490"/>
      <c r="D302" s="1294" t="s">
        <v>683</v>
      </c>
      <c r="E302" s="1294"/>
      <c r="F302" s="1294"/>
      <c r="I302" s="490"/>
    </row>
    <row r="303" spans="1:9">
      <c r="C303" s="490"/>
      <c r="D303" s="1287" t="s">
        <v>1129</v>
      </c>
      <c r="E303" s="1287"/>
      <c r="F303" s="1287"/>
      <c r="I303" s="490"/>
    </row>
    <row r="304" spans="1:9">
      <c r="C304" s="490"/>
      <c r="D304" s="493"/>
      <c r="I304" s="490"/>
    </row>
    <row r="305" spans="1:9">
      <c r="B305" s="485" t="s">
        <v>2746</v>
      </c>
      <c r="D305" s="1287" t="s">
        <v>1130</v>
      </c>
      <c r="E305" s="1287"/>
      <c r="F305" s="1287"/>
      <c r="I305" s="490"/>
    </row>
    <row r="306" spans="1:9">
      <c r="A306" s="484"/>
      <c r="B306" s="484"/>
      <c r="D306" s="494"/>
      <c r="E306" s="495"/>
      <c r="F306" s="495"/>
      <c r="I306" s="490"/>
    </row>
    <row r="307" spans="1:9" ht="13.75" customHeight="1">
      <c r="B307" s="485" t="s">
        <v>2746</v>
      </c>
      <c r="D307" s="1296" t="s">
        <v>1220</v>
      </c>
      <c r="E307" s="1296"/>
      <c r="F307" s="1296"/>
      <c r="I307" s="490"/>
    </row>
    <row r="308" spans="1:9">
      <c r="A308" s="484"/>
      <c r="B308" s="484"/>
      <c r="D308" s="1296"/>
      <c r="E308" s="1296"/>
      <c r="F308" s="1296"/>
      <c r="I308" s="490"/>
    </row>
    <row r="309" spans="1:9">
      <c r="A309" s="484"/>
      <c r="B309" s="484"/>
      <c r="D309" s="1296"/>
      <c r="E309" s="1296"/>
      <c r="F309" s="1296"/>
      <c r="I309" s="490"/>
    </row>
    <row r="310" spans="1:9">
      <c r="A310" s="484"/>
      <c r="B310" s="484"/>
      <c r="D310" s="1296"/>
      <c r="E310" s="1296"/>
      <c r="F310" s="1296"/>
      <c r="I310" s="490"/>
    </row>
    <row r="311" spans="1:9">
      <c r="A311" s="484"/>
      <c r="B311" s="484"/>
      <c r="D311" s="1296"/>
      <c r="E311" s="1296"/>
      <c r="F311" s="1296"/>
      <c r="I311" s="490"/>
    </row>
    <row r="312" spans="1:9">
      <c r="A312" s="484"/>
      <c r="B312" s="484"/>
      <c r="D312" s="494"/>
      <c r="E312" s="495"/>
      <c r="F312" s="495"/>
      <c r="I312" s="490"/>
    </row>
    <row r="313" spans="1:9" ht="13.75" customHeight="1">
      <c r="B313" s="485" t="s">
        <v>2746</v>
      </c>
      <c r="D313" s="1296" t="s">
        <v>1131</v>
      </c>
      <c r="E313" s="1296"/>
      <c r="F313" s="1296"/>
      <c r="I313" s="490"/>
    </row>
    <row r="314" spans="1:9">
      <c r="D314" s="1296"/>
      <c r="E314" s="1296"/>
      <c r="F314" s="1296"/>
      <c r="I314" s="490"/>
    </row>
    <row r="315" spans="1:9">
      <c r="A315" s="484"/>
      <c r="B315" s="484"/>
      <c r="D315" s="494"/>
      <c r="E315" s="495"/>
      <c r="F315" s="495"/>
      <c r="I315" s="490"/>
    </row>
    <row r="316" spans="1:9">
      <c r="B316" s="485" t="s">
        <v>2746</v>
      </c>
      <c r="D316" s="1287" t="s">
        <v>1132</v>
      </c>
      <c r="E316" s="1287"/>
      <c r="F316" s="1287"/>
      <c r="I316" s="490"/>
    </row>
    <row r="317" spans="1:9">
      <c r="E317" s="446"/>
      <c r="F317" s="446"/>
      <c r="I317" s="490"/>
    </row>
    <row r="318" spans="1:9">
      <c r="A318" s="484"/>
      <c r="B318" s="485" t="s">
        <v>2746</v>
      </c>
      <c r="D318" s="1286" t="s">
        <v>2247</v>
      </c>
      <c r="E318" s="1286"/>
      <c r="F318" s="1286"/>
      <c r="I318" s="490"/>
    </row>
    <row r="319" spans="1:9">
      <c r="A319" s="484"/>
      <c r="B319" s="484"/>
      <c r="D319" s="1286"/>
      <c r="E319" s="1286"/>
      <c r="F319" s="1286"/>
      <c r="I319" s="490"/>
    </row>
    <row r="320" spans="1:9">
      <c r="A320" s="484"/>
      <c r="B320" s="484"/>
      <c r="D320" s="1286"/>
      <c r="E320" s="1286"/>
      <c r="F320" s="1286"/>
      <c r="I320" s="490"/>
    </row>
    <row r="321" spans="1:9">
      <c r="A321" s="484"/>
      <c r="B321" s="484"/>
      <c r="D321" s="1286"/>
      <c r="E321" s="1286"/>
      <c r="F321" s="1286"/>
      <c r="I321" s="490"/>
    </row>
    <row r="322" spans="1:9">
      <c r="A322" s="484"/>
      <c r="B322" s="484"/>
      <c r="D322" s="1286"/>
      <c r="E322" s="1286"/>
      <c r="F322" s="1286"/>
      <c r="I322" s="490"/>
    </row>
    <row r="323" spans="1:9">
      <c r="A323" s="484"/>
      <c r="B323" s="484"/>
      <c r="D323" s="1286"/>
      <c r="E323" s="1286"/>
      <c r="F323" s="1286"/>
      <c r="I323" s="490"/>
    </row>
    <row r="324" spans="1:9">
      <c r="A324" s="484"/>
      <c r="B324" s="484"/>
      <c r="D324" s="1286"/>
      <c r="E324" s="1286"/>
      <c r="F324" s="1286"/>
      <c r="I324" s="490"/>
    </row>
    <row r="325" spans="1:9">
      <c r="A325" s="484"/>
      <c r="B325" s="484"/>
      <c r="D325" s="1286"/>
      <c r="E325" s="1286"/>
      <c r="F325" s="1286"/>
      <c r="I325" s="490"/>
    </row>
    <row r="326" spans="1:9">
      <c r="A326" s="484"/>
      <c r="B326" s="484"/>
      <c r="D326" s="1286"/>
      <c r="E326" s="1286"/>
      <c r="F326" s="1286"/>
      <c r="I326" s="490"/>
    </row>
    <row r="327" spans="1:9">
      <c r="A327" s="484"/>
      <c r="B327" s="484"/>
      <c r="D327" s="1286"/>
      <c r="E327" s="1286"/>
      <c r="F327" s="1286"/>
      <c r="I327" s="490"/>
    </row>
    <row r="328" spans="1:9">
      <c r="A328" s="484"/>
      <c r="B328" s="484"/>
      <c r="D328" s="1286"/>
      <c r="E328" s="1286"/>
      <c r="F328" s="1286"/>
      <c r="I328" s="490"/>
    </row>
    <row r="329" spans="1:9">
      <c r="A329" s="484"/>
      <c r="B329" s="484"/>
      <c r="D329" s="1286"/>
      <c r="E329" s="1286"/>
      <c r="F329" s="1286"/>
      <c r="I329" s="490"/>
    </row>
    <row r="330" spans="1:9">
      <c r="A330" s="484"/>
      <c r="B330" s="484"/>
      <c r="D330" s="1286"/>
      <c r="E330" s="1286"/>
      <c r="F330" s="1286"/>
      <c r="I330" s="490"/>
    </row>
    <row r="331" spans="1:9">
      <c r="A331" s="484"/>
      <c r="B331" s="484"/>
      <c r="D331" s="1286"/>
      <c r="E331" s="1286"/>
      <c r="F331" s="1286"/>
      <c r="I331" s="490"/>
    </row>
    <row r="332" spans="1:9">
      <c r="A332" s="484"/>
      <c r="B332" s="484"/>
      <c r="D332" s="1286"/>
      <c r="E332" s="1286"/>
      <c r="F332" s="1286"/>
      <c r="I332" s="490"/>
    </row>
    <row r="333" spans="1:9">
      <c r="D333" s="446"/>
      <c r="E333" s="446"/>
      <c r="F333" s="446"/>
      <c r="I333" s="490"/>
    </row>
    <row r="334" spans="1:9">
      <c r="A334" s="484"/>
      <c r="B334" s="485" t="s">
        <v>2746</v>
      </c>
      <c r="D334" s="1286" t="s">
        <v>1133</v>
      </c>
      <c r="E334" s="1286"/>
      <c r="F334" s="1286"/>
      <c r="I334" s="490"/>
    </row>
    <row r="335" spans="1:9">
      <c r="D335" s="1286"/>
      <c r="E335" s="1286"/>
      <c r="F335" s="1286"/>
      <c r="I335" s="490"/>
    </row>
    <row r="336" spans="1:9">
      <c r="D336" s="1286"/>
      <c r="E336" s="1286"/>
      <c r="F336" s="1286"/>
      <c r="I336" s="490"/>
    </row>
    <row r="337" spans="1:9">
      <c r="D337" s="1286"/>
      <c r="E337" s="1286"/>
      <c r="F337" s="1286"/>
      <c r="I337" s="490"/>
    </row>
    <row r="338" spans="1:9">
      <c r="D338" s="1286"/>
      <c r="E338" s="1286"/>
      <c r="F338" s="1286"/>
      <c r="I338" s="490"/>
    </row>
    <row r="339" spans="1:9">
      <c r="D339" s="1286"/>
      <c r="E339" s="1286"/>
      <c r="F339" s="1286"/>
      <c r="I339" s="490"/>
    </row>
    <row r="340" spans="1:9">
      <c r="D340" s="1286"/>
      <c r="E340" s="1286"/>
      <c r="F340" s="1286"/>
      <c r="I340" s="490"/>
    </row>
    <row r="341" spans="1:9">
      <c r="D341" s="1286"/>
      <c r="E341" s="1286"/>
      <c r="F341" s="1286"/>
      <c r="I341" s="490"/>
    </row>
    <row r="342" spans="1:9">
      <c r="D342" s="1286"/>
      <c r="E342" s="1286"/>
      <c r="F342" s="1286"/>
      <c r="I342" s="490"/>
    </row>
    <row r="343" spans="1:9">
      <c r="D343" s="446"/>
      <c r="E343" s="446"/>
      <c r="F343" s="446"/>
      <c r="I343" s="490"/>
    </row>
    <row r="344" spans="1:9" ht="14.25" customHeight="1">
      <c r="A344" s="484"/>
      <c r="B344" s="485" t="s">
        <v>2746</v>
      </c>
      <c r="D344" s="1286" t="s">
        <v>1904</v>
      </c>
      <c r="E344" s="1286"/>
      <c r="F344" s="1286"/>
      <c r="I344" s="490"/>
    </row>
    <row r="345" spans="1:9">
      <c r="D345" s="1286"/>
      <c r="E345" s="1286"/>
      <c r="F345" s="1286"/>
      <c r="I345" s="490"/>
    </row>
    <row r="346" spans="1:9">
      <c r="D346" s="1286"/>
      <c r="E346" s="1286"/>
      <c r="F346" s="1286"/>
      <c r="I346" s="490"/>
    </row>
    <row r="347" spans="1:9">
      <c r="D347" s="1286"/>
      <c r="E347" s="1286"/>
      <c r="F347" s="1286"/>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9" t="s">
        <v>980</v>
      </c>
      <c r="E351" s="1299"/>
      <c r="F351" s="1299"/>
      <c r="G351" s="1027"/>
      <c r="H351" s="1027"/>
      <c r="I351" s="1156"/>
    </row>
    <row r="352" spans="1:9" ht="13.5" thickTop="1">
      <c r="D352" s="1297" t="s">
        <v>2248</v>
      </c>
      <c r="E352" s="1297"/>
      <c r="F352" s="1297"/>
      <c r="I352" s="490"/>
    </row>
    <row r="353" spans="1:9">
      <c r="D353" s="446"/>
      <c r="E353" s="446"/>
      <c r="F353" s="446"/>
      <c r="I353" s="490"/>
    </row>
    <row r="354" spans="1:9">
      <c r="A354" s="476"/>
      <c r="B354" s="476"/>
      <c r="C354" s="476"/>
      <c r="D354" s="447"/>
      <c r="E354" s="447"/>
      <c r="F354" s="446"/>
      <c r="I354" s="490"/>
    </row>
    <row r="355" spans="1:9">
      <c r="A355" s="484"/>
      <c r="B355" s="485" t="s">
        <v>2746</v>
      </c>
      <c r="C355" s="487"/>
      <c r="D355" s="1287" t="s">
        <v>1902</v>
      </c>
      <c r="E355" s="1287"/>
      <c r="F355" s="1287"/>
      <c r="I355" s="490"/>
    </row>
    <row r="356" spans="1:9" ht="12.75" customHeight="1">
      <c r="D356" s="1037"/>
      <c r="E356" s="96" t="s">
        <v>1901</v>
      </c>
      <c r="F356" s="1037"/>
      <c r="I356" s="490"/>
    </row>
    <row r="357" spans="1:9">
      <c r="D357" s="1286" t="s">
        <v>1240</v>
      </c>
      <c r="E357" s="1286"/>
      <c r="F357" s="1286"/>
      <c r="I357" s="490"/>
    </row>
    <row r="358" spans="1:9">
      <c r="D358" s="1286"/>
      <c r="E358" s="1286"/>
      <c r="F358" s="1286"/>
      <c r="I358" s="490"/>
    </row>
    <row r="359" spans="1:9">
      <c r="D359" s="1286"/>
      <c r="E359" s="1286"/>
      <c r="F359" s="1286"/>
      <c r="I359" s="490"/>
    </row>
    <row r="360" spans="1:9">
      <c r="A360" s="484"/>
      <c r="B360" s="485" t="s">
        <v>2746</v>
      </c>
      <c r="C360" s="476"/>
      <c r="D360" s="1298" t="s">
        <v>2058</v>
      </c>
      <c r="E360" s="1298"/>
      <c r="F360" s="1298"/>
      <c r="I360" s="480"/>
    </row>
    <row r="361" spans="1:9">
      <c r="A361" s="476"/>
      <c r="B361" s="476"/>
      <c r="C361" s="476"/>
      <c r="D361" s="447"/>
      <c r="E361" s="447"/>
      <c r="F361" s="446"/>
      <c r="I361" s="490"/>
    </row>
    <row r="362" spans="1:9">
      <c r="A362" s="476"/>
      <c r="B362" s="485" t="s">
        <v>2746</v>
      </c>
      <c r="C362" s="476"/>
      <c r="D362" s="1266" t="s">
        <v>2059</v>
      </c>
      <c r="E362" s="1266"/>
      <c r="F362" s="1266"/>
      <c r="I362" s="490"/>
    </row>
    <row r="363" spans="1:9">
      <c r="A363" s="476"/>
      <c r="B363" s="476"/>
      <c r="C363" s="476"/>
      <c r="D363" s="1266"/>
      <c r="E363" s="1266"/>
      <c r="F363" s="1266"/>
      <c r="I363" s="490"/>
    </row>
    <row r="364" spans="1:9">
      <c r="A364" s="476"/>
      <c r="B364" s="476"/>
      <c r="C364" s="476"/>
      <c r="D364" s="1266"/>
      <c r="E364" s="1266"/>
      <c r="F364" s="1266"/>
      <c r="I364" s="490"/>
    </row>
    <row r="365" spans="1:9">
      <c r="A365" s="476"/>
      <c r="B365" s="476"/>
      <c r="C365" s="476"/>
      <c r="D365" s="1266"/>
      <c r="E365" s="1266"/>
      <c r="F365" s="1266"/>
      <c r="I365" s="490"/>
    </row>
    <row r="366" spans="1:9">
      <c r="A366" s="476"/>
      <c r="B366" s="476"/>
      <c r="C366" s="476"/>
      <c r="D366" s="1266"/>
      <c r="E366" s="1266"/>
      <c r="F366" s="1266"/>
      <c r="I366" s="490"/>
    </row>
    <row r="367" spans="1:9">
      <c r="A367" s="476"/>
      <c r="B367" s="476"/>
      <c r="C367" s="476"/>
      <c r="D367" s="1266"/>
      <c r="E367" s="1266"/>
      <c r="F367" s="1266"/>
      <c r="I367" s="490"/>
    </row>
    <row r="368" spans="1:9">
      <c r="A368" s="476"/>
      <c r="B368" s="476"/>
      <c r="C368" s="476"/>
      <c r="D368" s="1266"/>
      <c r="E368" s="1266"/>
      <c r="F368" s="1266"/>
      <c r="I368" s="490"/>
    </row>
    <row r="369" spans="1:9">
      <c r="A369" s="476"/>
      <c r="B369" s="476"/>
      <c r="C369" s="476"/>
      <c r="D369" s="1266"/>
      <c r="E369" s="1266"/>
      <c r="F369" s="1266"/>
      <c r="I369" s="490"/>
    </row>
    <row r="370" spans="1:9">
      <c r="A370" s="476"/>
      <c r="B370" s="476"/>
      <c r="C370" s="476"/>
      <c r="D370" s="1266"/>
      <c r="E370" s="1266"/>
      <c r="F370" s="1266"/>
      <c r="I370" s="490"/>
    </row>
    <row r="371" spans="1:9">
      <c r="A371" s="476"/>
      <c r="B371" s="476"/>
      <c r="C371" s="476"/>
      <c r="D371" s="1266"/>
      <c r="E371" s="1266"/>
      <c r="F371" s="1266"/>
      <c r="I371" s="490"/>
    </row>
    <row r="372" spans="1:9">
      <c r="A372" s="476"/>
      <c r="B372" s="476"/>
      <c r="C372" s="476"/>
      <c r="D372" s="1266"/>
      <c r="E372" s="1266"/>
      <c r="F372" s="1266"/>
      <c r="I372" s="490"/>
    </row>
    <row r="373" spans="1:9">
      <c r="A373" s="476"/>
      <c r="B373" s="476"/>
      <c r="C373" s="476"/>
      <c r="D373" s="1266"/>
      <c r="E373" s="1266"/>
      <c r="F373" s="1266"/>
      <c r="I373" s="490"/>
    </row>
    <row r="374" spans="1:9">
      <c r="A374" s="476"/>
      <c r="B374" s="476"/>
      <c r="C374" s="476"/>
      <c r="D374" s="451"/>
      <c r="E374" s="451"/>
      <c r="F374" s="451"/>
      <c r="I374" s="490"/>
    </row>
    <row r="375" spans="1:9" ht="12.4" customHeight="1">
      <c r="A375" s="476"/>
      <c r="B375" s="485" t="s">
        <v>2746</v>
      </c>
      <c r="C375" s="476"/>
      <c r="D375" s="1283" t="s">
        <v>1222</v>
      </c>
      <c r="E375" s="1283"/>
      <c r="F375" s="1283"/>
      <c r="I375" s="490"/>
    </row>
    <row r="376" spans="1:9">
      <c r="A376" s="476"/>
      <c r="B376" s="476"/>
      <c r="C376" s="476"/>
      <c r="D376" s="1283"/>
      <c r="E376" s="1283"/>
      <c r="F376" s="1283"/>
      <c r="I376" s="490"/>
    </row>
    <row r="377" spans="1:9">
      <c r="A377" s="476"/>
      <c r="B377" s="476"/>
      <c r="C377" s="476"/>
      <c r="D377" s="1283"/>
      <c r="E377" s="1283"/>
      <c r="F377" s="1283"/>
      <c r="I377" s="490"/>
    </row>
    <row r="378" spans="1:9">
      <c r="A378" s="476"/>
      <c r="B378" s="476"/>
      <c r="C378" s="476"/>
      <c r="D378" s="1283"/>
      <c r="E378" s="1283"/>
      <c r="F378" s="1283"/>
      <c r="I378" s="490"/>
    </row>
    <row r="379" spans="1:9">
      <c r="A379" s="476"/>
      <c r="B379" s="476"/>
      <c r="C379" s="476"/>
      <c r="D379" s="524"/>
      <c r="E379" s="524"/>
      <c r="F379" s="524"/>
      <c r="I379" s="490"/>
    </row>
    <row r="380" spans="1:9">
      <c r="A380" s="476"/>
      <c r="B380" s="485" t="s">
        <v>2746</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c r="A387" s="484"/>
      <c r="B387" s="485" t="s">
        <v>2746</v>
      </c>
      <c r="C387" s="476"/>
      <c r="D387" s="1266" t="s">
        <v>1134</v>
      </c>
      <c r="E387" s="1266"/>
      <c r="F387" s="1266"/>
      <c r="I387" s="490"/>
    </row>
    <row r="388" spans="1:9">
      <c r="A388" s="476"/>
      <c r="B388" s="476"/>
      <c r="C388" s="476"/>
      <c r="D388" s="1266"/>
      <c r="E388" s="1266"/>
      <c r="F388" s="1266"/>
      <c r="I388" s="490"/>
    </row>
    <row r="389" spans="1:9">
      <c r="A389" s="476"/>
      <c r="B389" s="476"/>
      <c r="C389" s="476"/>
      <c r="D389" s="1266"/>
      <c r="E389" s="1266"/>
      <c r="F389" s="1266"/>
      <c r="I389" s="490"/>
    </row>
    <row r="390" spans="1:9">
      <c r="A390" s="476"/>
      <c r="B390" s="476"/>
      <c r="C390" s="476"/>
      <c r="D390" s="1266"/>
      <c r="E390" s="1266"/>
      <c r="F390" s="1266"/>
      <c r="I390" s="490"/>
    </row>
    <row r="391" spans="1:9">
      <c r="A391" s="476"/>
      <c r="B391" s="476"/>
      <c r="C391" s="476"/>
      <c r="D391" s="447"/>
      <c r="E391" s="447"/>
      <c r="F391" s="446"/>
      <c r="I391" s="490"/>
    </row>
    <row r="392" spans="1:9">
      <c r="A392" s="476"/>
      <c r="B392" s="476"/>
      <c r="C392" s="476"/>
      <c r="D392" s="1266" t="s">
        <v>1135</v>
      </c>
      <c r="E392" s="1266"/>
      <c r="F392" s="1266"/>
      <c r="I392" s="490"/>
    </row>
    <row r="393" spans="1:9">
      <c r="A393" s="476"/>
      <c r="B393" s="476"/>
      <c r="C393" s="476"/>
      <c r="D393" s="1266"/>
      <c r="E393" s="1266"/>
      <c r="F393" s="1266"/>
      <c r="I393" s="490"/>
    </row>
    <row r="394" spans="1:9">
      <c r="A394" s="476"/>
      <c r="B394" s="476"/>
      <c r="C394" s="476"/>
      <c r="D394" s="1266"/>
      <c r="E394" s="1266"/>
      <c r="F394" s="1266"/>
      <c r="I394" s="490"/>
    </row>
    <row r="395" spans="1:9">
      <c r="A395" s="476"/>
      <c r="B395" s="476"/>
      <c r="C395" s="476"/>
      <c r="D395" s="1266"/>
      <c r="E395" s="1266"/>
      <c r="F395" s="1266"/>
      <c r="I395" s="490"/>
    </row>
    <row r="396" spans="1:9" ht="18" customHeight="1">
      <c r="A396" s="476"/>
      <c r="B396" s="476"/>
      <c r="C396" s="476"/>
      <c r="D396" s="1266"/>
      <c r="E396" s="1266"/>
      <c r="F396" s="1266"/>
      <c r="I396" s="490"/>
    </row>
    <row r="397" spans="1:9">
      <c r="A397" s="476"/>
      <c r="B397" s="476"/>
      <c r="C397" s="476"/>
      <c r="D397" s="1266"/>
      <c r="E397" s="1266"/>
      <c r="F397" s="1266"/>
      <c r="I397" s="490"/>
    </row>
    <row r="398" spans="1:9">
      <c r="A398" s="476"/>
      <c r="B398" s="476"/>
      <c r="C398" s="476"/>
      <c r="D398" s="1266"/>
      <c r="E398" s="1266"/>
      <c r="F398" s="1266"/>
      <c r="I398" s="490"/>
    </row>
    <row r="399" spans="1:9">
      <c r="A399" s="476"/>
      <c r="B399" s="476"/>
      <c r="C399" s="476"/>
      <c r="D399" s="1266"/>
      <c r="E399" s="1266"/>
      <c r="F399" s="1266"/>
      <c r="I399" s="490"/>
    </row>
    <row r="400" spans="1:9" ht="8.25" customHeight="1">
      <c r="A400" s="476"/>
      <c r="B400" s="476"/>
      <c r="C400" s="476"/>
      <c r="D400" s="1266"/>
      <c r="E400" s="1266"/>
      <c r="F400" s="1266"/>
      <c r="I400" s="490"/>
    </row>
    <row r="401" spans="1:9" ht="13.75" customHeight="1">
      <c r="A401" s="476"/>
      <c r="B401" s="476"/>
      <c r="C401" s="476"/>
      <c r="D401" s="1266" t="s">
        <v>1136</v>
      </c>
      <c r="E401" s="1266"/>
      <c r="F401" s="1266"/>
      <c r="I401" s="490"/>
    </row>
    <row r="402" spans="1:9">
      <c r="A402" s="476"/>
      <c r="B402" s="476"/>
      <c r="C402" s="476"/>
      <c r="D402" s="1266"/>
      <c r="E402" s="1266"/>
      <c r="F402" s="1266"/>
      <c r="I402" s="490"/>
    </row>
    <row r="403" spans="1:9">
      <c r="A403" s="476"/>
      <c r="B403" s="476"/>
      <c r="C403" s="476"/>
      <c r="D403" s="1266"/>
      <c r="E403" s="1266"/>
      <c r="F403" s="1266"/>
      <c r="I403" s="490"/>
    </row>
    <row r="404" spans="1:9">
      <c r="A404" s="476"/>
      <c r="B404" s="476"/>
      <c r="C404" s="476"/>
      <c r="D404" s="1266"/>
      <c r="E404" s="1266"/>
      <c r="F404" s="1266"/>
      <c r="I404" s="490"/>
    </row>
    <row r="405" spans="1:9">
      <c r="A405" s="476"/>
      <c r="B405" s="476"/>
      <c r="C405" s="476"/>
      <c r="D405" s="1266"/>
      <c r="E405" s="1266"/>
      <c r="F405" s="1266"/>
      <c r="I405" s="490"/>
    </row>
    <row r="406" spans="1:9">
      <c r="A406" s="476"/>
      <c r="B406" s="476"/>
      <c r="C406" s="476"/>
      <c r="D406" s="1266"/>
      <c r="E406" s="1266"/>
      <c r="F406" s="1266"/>
      <c r="I406" s="490"/>
    </row>
    <row r="407" spans="1:9">
      <c r="A407" s="476"/>
      <c r="B407" s="476"/>
      <c r="C407" s="476"/>
      <c r="D407" s="1266"/>
      <c r="E407" s="1266"/>
      <c r="F407" s="1266"/>
      <c r="I407" s="490"/>
    </row>
    <row r="408" spans="1:9">
      <c r="A408" s="476"/>
      <c r="B408" s="476"/>
      <c r="C408" s="476"/>
      <c r="D408" s="1266"/>
      <c r="E408" s="1266"/>
      <c r="F408" s="1266"/>
      <c r="I408" s="490"/>
    </row>
    <row r="409" spans="1:9">
      <c r="A409" s="476"/>
      <c r="B409" s="476"/>
      <c r="C409" s="476"/>
      <c r="D409" s="1266"/>
      <c r="E409" s="1266"/>
      <c r="F409" s="1266"/>
      <c r="I409" s="490"/>
    </row>
    <row r="410" spans="1:9">
      <c r="A410" s="476"/>
      <c r="B410" s="476"/>
      <c r="C410" s="476"/>
      <c r="D410" s="1266"/>
      <c r="E410" s="1266"/>
      <c r="F410" s="1266"/>
      <c r="I410" s="490"/>
    </row>
    <row r="411" spans="1:9">
      <c r="A411" s="476"/>
      <c r="B411" s="476"/>
      <c r="C411" s="476"/>
      <c r="D411" s="1266"/>
      <c r="E411" s="1266"/>
      <c r="F411" s="1266"/>
      <c r="I411" s="490"/>
    </row>
    <row r="412" spans="1:9">
      <c r="A412" s="476"/>
      <c r="B412" s="476"/>
      <c r="C412" s="476"/>
      <c r="D412" s="1266"/>
      <c r="E412" s="1266"/>
      <c r="F412" s="1266"/>
      <c r="I412" s="490"/>
    </row>
    <row r="413" spans="1:9">
      <c r="A413" s="476"/>
      <c r="B413" s="476"/>
      <c r="C413" s="496"/>
      <c r="D413" s="1266"/>
      <c r="E413" s="1266"/>
      <c r="F413" s="1266"/>
      <c r="I413" s="490"/>
    </row>
    <row r="414" spans="1:9">
      <c r="A414" s="476"/>
      <c r="B414" s="476"/>
      <c r="C414" s="496"/>
      <c r="D414" s="1266"/>
      <c r="E414" s="1266"/>
      <c r="F414" s="1266"/>
      <c r="I414" s="490"/>
    </row>
    <row r="415" spans="1:9">
      <c r="A415" s="476"/>
      <c r="B415" s="476"/>
      <c r="C415" s="476"/>
      <c r="D415" s="1266"/>
      <c r="E415" s="1266"/>
      <c r="F415" s="1266"/>
      <c r="I415" s="490"/>
    </row>
    <row r="416" spans="1:9">
      <c r="A416" s="476"/>
      <c r="B416" s="476"/>
      <c r="C416" s="496"/>
      <c r="D416" s="1266"/>
      <c r="E416" s="1266"/>
      <c r="F416" s="1266"/>
      <c r="I416" s="490"/>
    </row>
    <row r="417" spans="1:9">
      <c r="A417" s="476"/>
      <c r="B417" s="476"/>
      <c r="C417" s="496"/>
      <c r="D417" s="1266"/>
      <c r="E417" s="1266"/>
      <c r="F417" s="1266"/>
      <c r="I417" s="490"/>
    </row>
    <row r="418" spans="1:9">
      <c r="A418" s="476"/>
      <c r="B418" s="476"/>
      <c r="C418" s="496"/>
      <c r="D418" s="1266"/>
      <c r="E418" s="1266"/>
      <c r="F418" s="1266"/>
      <c r="I418" s="490"/>
    </row>
    <row r="419" spans="1:9">
      <c r="A419" s="476"/>
      <c r="B419" s="476"/>
      <c r="C419" s="476"/>
      <c r="D419" s="447"/>
      <c r="E419" s="447"/>
      <c r="F419" s="446"/>
      <c r="I419" s="490"/>
    </row>
    <row r="420" spans="1:9">
      <c r="A420" s="476"/>
      <c r="B420" s="485" t="s">
        <v>2746</v>
      </c>
      <c r="C420" s="476"/>
      <c r="D420" s="1266" t="s">
        <v>1137</v>
      </c>
      <c r="E420" s="1266"/>
      <c r="F420" s="1266"/>
      <c r="I420" s="490"/>
    </row>
    <row r="421" spans="1:9">
      <c r="A421" s="476"/>
      <c r="B421" s="476"/>
      <c r="C421" s="476"/>
      <c r="D421" s="1266"/>
      <c r="E421" s="1266"/>
      <c r="F421" s="1266"/>
      <c r="I421" s="490"/>
    </row>
    <row r="422" spans="1:9">
      <c r="A422" s="476"/>
      <c r="B422" s="476"/>
      <c r="C422" s="476"/>
      <c r="D422" s="451"/>
      <c r="E422" s="451"/>
      <c r="F422" s="451"/>
      <c r="I422" s="490"/>
    </row>
    <row r="423" spans="1:9" ht="14.5" customHeight="1">
      <c r="A423" s="484"/>
      <c r="B423" s="485" t="s">
        <v>2746</v>
      </c>
      <c r="D423" s="1266" t="s">
        <v>1883</v>
      </c>
      <c r="E423" s="1266"/>
      <c r="F423" s="1266"/>
      <c r="I423" s="490"/>
    </row>
    <row r="424" spans="1:9" ht="14.5" customHeight="1">
      <c r="A424" s="484"/>
      <c r="D424" s="1266"/>
      <c r="E424" s="1266"/>
      <c r="F424" s="1266"/>
      <c r="I424" s="490"/>
    </row>
    <row r="425" spans="1:9" ht="14.5" customHeight="1">
      <c r="A425" s="484"/>
      <c r="D425" s="1266"/>
      <c r="E425" s="1266"/>
      <c r="F425" s="1266"/>
      <c r="I425" s="490"/>
    </row>
    <row r="426" spans="1:9" ht="14.5" customHeight="1">
      <c r="A426" s="484"/>
      <c r="D426" s="1266"/>
      <c r="E426" s="1266"/>
      <c r="F426" s="1266"/>
      <c r="I426" s="490"/>
    </row>
    <row r="427" spans="1:9" ht="14.5" customHeight="1">
      <c r="A427" s="484"/>
      <c r="D427" s="1266"/>
      <c r="E427" s="1266"/>
      <c r="F427" s="1266"/>
      <c r="I427" s="490"/>
    </row>
    <row r="428" spans="1:9" ht="14.5" customHeight="1">
      <c r="A428" s="484"/>
      <c r="D428" s="385"/>
      <c r="E428" s="385"/>
      <c r="F428" s="385"/>
      <c r="I428" s="490"/>
    </row>
    <row r="429" spans="1:9" ht="13.75" customHeight="1">
      <c r="A429" s="484"/>
      <c r="B429" s="485" t="s">
        <v>2746</v>
      </c>
      <c r="C429" s="476"/>
      <c r="D429" s="1266" t="s">
        <v>1241</v>
      </c>
      <c r="E429" s="1266"/>
      <c r="F429" s="1266"/>
      <c r="I429" s="490"/>
    </row>
    <row r="430" spans="1:9">
      <c r="A430" s="497"/>
      <c r="B430" s="497"/>
      <c r="C430" s="476"/>
      <c r="D430" s="1266"/>
      <c r="E430" s="1266"/>
      <c r="F430" s="1266"/>
      <c r="I430" s="490"/>
    </row>
    <row r="431" spans="1:9">
      <c r="A431" s="497"/>
      <c r="B431" s="497"/>
      <c r="C431" s="476"/>
      <c r="D431" s="1266"/>
      <c r="E431" s="1266"/>
      <c r="F431" s="1266"/>
      <c r="I431" s="490"/>
    </row>
    <row r="432" spans="1:9">
      <c r="A432" s="497"/>
      <c r="B432" s="497"/>
      <c r="C432" s="476"/>
      <c r="D432" s="1266"/>
      <c r="E432" s="1266"/>
      <c r="F432" s="1266"/>
      <c r="I432" s="490"/>
    </row>
    <row r="433" spans="1:9" ht="15.75" customHeight="1">
      <c r="A433" s="497"/>
      <c r="B433" s="497"/>
      <c r="C433" s="476"/>
      <c r="D433" s="1300" t="s">
        <v>2075</v>
      </c>
      <c r="E433" s="1266"/>
      <c r="F433" s="1266"/>
      <c r="I433" s="490"/>
    </row>
    <row r="434" spans="1:9">
      <c r="D434" s="446"/>
      <c r="E434" s="446"/>
      <c r="F434" s="446"/>
      <c r="I434" s="490"/>
    </row>
    <row r="435" spans="1:9">
      <c r="A435" s="484"/>
      <c r="B435" s="485" t="s">
        <v>2746</v>
      </c>
      <c r="C435" s="487"/>
      <c r="D435" s="1286" t="s">
        <v>2060</v>
      </c>
      <c r="E435" s="1286"/>
      <c r="F435" s="1286"/>
      <c r="I435" s="490"/>
    </row>
    <row r="436" spans="1:9">
      <c r="A436" s="484"/>
      <c r="B436" s="484"/>
      <c r="D436" s="1286"/>
      <c r="E436" s="1286"/>
      <c r="F436" s="1286"/>
      <c r="I436" s="490"/>
    </row>
    <row r="437" spans="1:9">
      <c r="D437" s="1286"/>
      <c r="E437" s="1286"/>
      <c r="F437" s="1286"/>
      <c r="I437" s="490"/>
    </row>
    <row r="438" spans="1:9">
      <c r="D438" s="1286"/>
      <c r="E438" s="1286"/>
      <c r="F438" s="1286"/>
      <c r="I438" s="490"/>
    </row>
    <row r="439" spans="1:9">
      <c r="D439" s="1286"/>
      <c r="E439" s="1286"/>
      <c r="F439" s="1286"/>
      <c r="I439" s="490"/>
    </row>
    <row r="440" spans="1:9">
      <c r="D440" s="1286"/>
      <c r="E440" s="1286"/>
      <c r="F440" s="1286"/>
      <c r="I440" s="490"/>
    </row>
    <row r="441" spans="1:9">
      <c r="D441" s="1286"/>
      <c r="E441" s="1286"/>
      <c r="F441" s="1286"/>
      <c r="I441" s="490"/>
    </row>
    <row r="442" spans="1:9">
      <c r="D442" s="1286"/>
      <c r="E442" s="1286"/>
      <c r="F442" s="1286"/>
      <c r="I442" s="490"/>
    </row>
    <row r="443" spans="1:9">
      <c r="D443" s="1286"/>
      <c r="E443" s="1286"/>
      <c r="F443" s="1286"/>
      <c r="I443" s="490"/>
    </row>
    <row r="444" spans="1:9">
      <c r="D444" s="1286"/>
      <c r="E444" s="1286"/>
      <c r="F444" s="1286"/>
      <c r="I444" s="490"/>
    </row>
    <row r="445" spans="1:9">
      <c r="D445" s="1286"/>
      <c r="E445" s="1286"/>
      <c r="F445" s="1286"/>
      <c r="I445" s="490"/>
    </row>
    <row r="446" spans="1:9">
      <c r="D446" s="1286"/>
      <c r="E446" s="1286"/>
      <c r="F446" s="1286"/>
      <c r="I446" s="490"/>
    </row>
    <row r="447" spans="1:9">
      <c r="D447" s="1286"/>
      <c r="E447" s="1286"/>
      <c r="F447" s="1286"/>
      <c r="I447" s="490"/>
    </row>
    <row r="448" spans="1:9">
      <c r="A448" s="402"/>
      <c r="B448" s="402"/>
      <c r="C448" s="402"/>
      <c r="D448" s="1286"/>
      <c r="E448" s="1286"/>
      <c r="F448" s="1286"/>
      <c r="I448" s="490"/>
    </row>
    <row r="449" spans="1:9">
      <c r="A449" s="402"/>
      <c r="B449" s="402"/>
      <c r="C449" s="402"/>
      <c r="D449" s="1286"/>
      <c r="E449" s="1286"/>
      <c r="F449" s="1286"/>
      <c r="I449" s="490"/>
    </row>
    <row r="450" spans="1:9">
      <c r="A450" s="402"/>
      <c r="B450" s="402"/>
      <c r="C450" s="402"/>
      <c r="D450" s="1286"/>
      <c r="E450" s="1286"/>
      <c r="F450" s="1286"/>
      <c r="I450" s="490"/>
    </row>
    <row r="451" spans="1:9">
      <c r="A451" s="402"/>
      <c r="B451" s="402"/>
      <c r="C451" s="402"/>
      <c r="D451" s="1286"/>
      <c r="E451" s="1286"/>
      <c r="F451" s="1286"/>
      <c r="I451" s="490"/>
    </row>
    <row r="452" spans="1:9">
      <c r="A452" s="402"/>
      <c r="B452" s="402"/>
      <c r="C452" s="402"/>
      <c r="D452" s="1286"/>
      <c r="E452" s="1286"/>
      <c r="F452" s="1286"/>
      <c r="I452" s="490"/>
    </row>
    <row r="453" spans="1:9">
      <c r="A453" s="402"/>
      <c r="B453" s="402"/>
      <c r="C453" s="402"/>
      <c r="D453" s="1286"/>
      <c r="E453" s="1286"/>
      <c r="F453" s="1286"/>
      <c r="I453" s="490"/>
    </row>
    <row r="454" spans="1:9">
      <c r="A454" s="402"/>
      <c r="B454" s="402"/>
      <c r="C454" s="402"/>
      <c r="D454" s="1286"/>
      <c r="E454" s="1286"/>
      <c r="F454" s="1286"/>
      <c r="I454" s="490"/>
    </row>
    <row r="455" spans="1:9">
      <c r="A455" s="402"/>
      <c r="B455" s="402"/>
      <c r="C455" s="402"/>
      <c r="D455" s="1286"/>
      <c r="E455" s="1286"/>
      <c r="F455" s="1286"/>
      <c r="I455" s="490"/>
    </row>
    <row r="456" spans="1:9">
      <c r="A456" s="402"/>
      <c r="B456" s="402"/>
      <c r="C456" s="402"/>
      <c r="D456" s="1286"/>
      <c r="E456" s="1286"/>
      <c r="F456" s="1286"/>
      <c r="I456" s="490"/>
    </row>
    <row r="457" spans="1:9">
      <c r="A457" s="402"/>
      <c r="B457" s="402"/>
      <c r="C457" s="402"/>
      <c r="D457" s="1286"/>
      <c r="E457" s="1286"/>
      <c r="F457" s="1286"/>
      <c r="I457" s="490"/>
    </row>
    <row r="458" spans="1:9">
      <c r="A458" s="402"/>
      <c r="B458" s="402"/>
      <c r="C458" s="402"/>
      <c r="D458" s="1286"/>
      <c r="E458" s="1286"/>
      <c r="F458" s="1286"/>
      <c r="I458" s="490"/>
    </row>
    <row r="459" spans="1:9">
      <c r="A459" s="402"/>
      <c r="B459" s="402"/>
      <c r="C459" s="402"/>
      <c r="D459" s="1286"/>
      <c r="E459" s="1286"/>
      <c r="F459" s="1286"/>
      <c r="I459" s="490"/>
    </row>
    <row r="460" spans="1:9">
      <c r="A460" s="402"/>
      <c r="B460" s="402"/>
      <c r="C460" s="402"/>
      <c r="D460" s="1286"/>
      <c r="E460" s="1286"/>
      <c r="F460" s="1286"/>
      <c r="I460" s="490"/>
    </row>
    <row r="461" spans="1:9">
      <c r="A461" s="402"/>
      <c r="B461" s="402"/>
      <c r="C461" s="402"/>
      <c r="D461" s="1286"/>
      <c r="E461" s="1286"/>
      <c r="F461" s="1286"/>
      <c r="I461" s="490"/>
    </row>
    <row r="462" spans="1:9">
      <c r="A462" s="402"/>
      <c r="B462" s="402"/>
      <c r="C462" s="402"/>
      <c r="D462" s="1286"/>
      <c r="E462" s="1286"/>
      <c r="F462" s="1286"/>
      <c r="I462" s="490"/>
    </row>
    <row r="463" spans="1:9">
      <c r="A463" s="402"/>
      <c r="B463" s="402"/>
      <c r="C463" s="402"/>
      <c r="D463" s="1286"/>
      <c r="E463" s="1286"/>
      <c r="F463" s="1286"/>
      <c r="I463" s="490"/>
    </row>
    <row r="464" spans="1:9">
      <c r="D464" s="1286"/>
      <c r="E464" s="1286"/>
      <c r="F464" s="1286"/>
      <c r="I464" s="490"/>
    </row>
    <row r="465" spans="1:9" ht="40.75" customHeight="1">
      <c r="D465" s="1286"/>
      <c r="E465" s="1286"/>
      <c r="F465" s="1286"/>
      <c r="I465" s="490"/>
    </row>
    <row r="466" spans="1:9">
      <c r="D466" s="446"/>
      <c r="E466" s="446"/>
      <c r="F466" s="446"/>
      <c r="I466" s="490"/>
    </row>
    <row r="467" spans="1:9">
      <c r="A467" s="484"/>
      <c r="B467" s="485" t="s">
        <v>2746</v>
      </c>
      <c r="C467" s="487"/>
      <c r="D467" s="1286" t="s">
        <v>1138</v>
      </c>
      <c r="E467" s="1286"/>
      <c r="F467" s="1286"/>
      <c r="I467" s="490"/>
    </row>
    <row r="468" spans="1:9">
      <c r="D468" s="1286"/>
      <c r="E468" s="1286"/>
      <c r="F468" s="1286"/>
      <c r="I468" s="490"/>
    </row>
    <row r="469" spans="1:9">
      <c r="D469" s="1286"/>
      <c r="E469" s="1286"/>
      <c r="F469" s="1286"/>
      <c r="I469" s="490"/>
    </row>
    <row r="470" spans="1:9">
      <c r="D470" s="445"/>
      <c r="E470" s="445"/>
      <c r="F470" s="445"/>
      <c r="I470" s="490"/>
    </row>
    <row r="471" spans="1:9">
      <c r="B471" s="485" t="s">
        <v>2746</v>
      </c>
      <c r="C471" s="484"/>
      <c r="D471" s="1286" t="s">
        <v>1198</v>
      </c>
      <c r="E471" s="1286"/>
      <c r="F471" s="1286"/>
      <c r="I471" s="490"/>
    </row>
    <row r="472" spans="1:9">
      <c r="D472" s="1286"/>
      <c r="E472" s="1286"/>
      <c r="F472" s="1286"/>
      <c r="I472" s="490"/>
    </row>
    <row r="473" spans="1:9">
      <c r="D473" s="446"/>
      <c r="E473" s="446"/>
      <c r="F473" s="446"/>
      <c r="I473" s="490"/>
    </row>
    <row r="474" spans="1:9">
      <c r="B474" s="485" t="s">
        <v>2746</v>
      </c>
      <c r="C474" s="484"/>
      <c r="D474" s="1286" t="s">
        <v>1139</v>
      </c>
      <c r="E474" s="1286"/>
      <c r="F474" s="1286"/>
      <c r="I474" s="490"/>
    </row>
    <row r="475" spans="1:9">
      <c r="D475" s="1286"/>
      <c r="E475" s="1286"/>
      <c r="F475" s="1286"/>
      <c r="I475" s="490"/>
    </row>
    <row r="476" spans="1:9">
      <c r="D476" s="1286"/>
      <c r="E476" s="1286"/>
      <c r="F476" s="1286"/>
      <c r="I476" s="490"/>
    </row>
    <row r="477" spans="1:9">
      <c r="D477" s="1286"/>
      <c r="E477" s="1286"/>
      <c r="F477" s="1286"/>
      <c r="I477" s="490"/>
    </row>
    <row r="478" spans="1:9">
      <c r="B478" s="485" t="s">
        <v>2746</v>
      </c>
      <c r="D478" s="1286"/>
      <c r="E478" s="1286"/>
      <c r="F478" s="1286"/>
      <c r="I478" s="490"/>
    </row>
    <row r="479" spans="1:9">
      <c r="A479" s="402"/>
      <c r="B479" s="402"/>
      <c r="C479" s="402"/>
      <c r="D479" s="1286"/>
      <c r="E479" s="1286"/>
      <c r="F479" s="1286"/>
      <c r="I479" s="490"/>
    </row>
    <row r="480" spans="1:9">
      <c r="A480" s="402"/>
      <c r="C480" s="402"/>
      <c r="D480" s="1286"/>
      <c r="E480" s="1286"/>
      <c r="F480" s="1286"/>
      <c r="I480" s="490"/>
    </row>
    <row r="481" spans="1:9">
      <c r="A481" s="402"/>
      <c r="B481" s="485" t="s">
        <v>2746</v>
      </c>
      <c r="C481" s="402"/>
      <c r="D481" s="1286"/>
      <c r="E481" s="1286"/>
      <c r="F481" s="1286"/>
      <c r="I481" s="490"/>
    </row>
    <row r="482" spans="1:9">
      <c r="A482" s="402"/>
      <c r="B482" s="402"/>
      <c r="C482" s="402"/>
      <c r="D482" s="1286"/>
      <c r="E482" s="1286"/>
      <c r="F482" s="1286"/>
      <c r="I482" s="490"/>
    </row>
    <row r="483" spans="1:9">
      <c r="A483" s="402"/>
      <c r="C483" s="402"/>
      <c r="D483" s="1286"/>
      <c r="E483" s="1286"/>
      <c r="F483" s="1286"/>
      <c r="I483" s="490"/>
    </row>
    <row r="484" spans="1:9">
      <c r="A484" s="402"/>
      <c r="C484" s="402"/>
      <c r="D484" s="1286"/>
      <c r="E484" s="1286"/>
      <c r="F484" s="1286"/>
      <c r="I484" s="490"/>
    </row>
    <row r="485" spans="1:9">
      <c r="A485" s="402"/>
      <c r="C485" s="402"/>
      <c r="D485" s="1286"/>
      <c r="E485" s="1286"/>
      <c r="F485" s="1286"/>
      <c r="I485" s="490"/>
    </row>
    <row r="486" spans="1:9">
      <c r="A486" s="402"/>
      <c r="B486" s="485" t="s">
        <v>2746</v>
      </c>
      <c r="C486" s="402"/>
      <c r="D486" s="1286"/>
      <c r="E486" s="1286"/>
      <c r="F486" s="1286"/>
      <c r="I486" s="490"/>
    </row>
    <row r="487" spans="1:9">
      <c r="A487" s="402"/>
      <c r="C487" s="402"/>
      <c r="D487" s="1286"/>
      <c r="E487" s="1286"/>
      <c r="F487" s="1286"/>
      <c r="I487" s="490"/>
    </row>
    <row r="488" spans="1:9">
      <c r="A488" s="402"/>
      <c r="B488" s="485" t="s">
        <v>2746</v>
      </c>
      <c r="C488" s="402"/>
      <c r="D488" s="1286" t="s">
        <v>1140</v>
      </c>
      <c r="E488" s="1286"/>
      <c r="F488" s="1286"/>
      <c r="I488" s="490"/>
    </row>
    <row r="489" spans="1:9">
      <c r="A489" s="402"/>
      <c r="B489" s="402"/>
      <c r="C489" s="402"/>
      <c r="D489" s="1286"/>
      <c r="E489" s="1286"/>
      <c r="F489" s="1286"/>
      <c r="I489" s="490"/>
    </row>
    <row r="490" spans="1:9">
      <c r="A490" s="402"/>
      <c r="B490" s="402"/>
      <c r="C490" s="402"/>
      <c r="D490" s="1286"/>
      <c r="E490" s="1286"/>
      <c r="F490" s="1286"/>
      <c r="I490" s="490"/>
    </row>
    <row r="491" spans="1:9">
      <c r="A491" s="402"/>
      <c r="B491" s="402"/>
      <c r="C491" s="402"/>
      <c r="D491" s="1286"/>
      <c r="E491" s="1286"/>
      <c r="F491" s="1286"/>
      <c r="I491" s="490"/>
    </row>
    <row r="492" spans="1:9">
      <c r="D492" s="1286"/>
      <c r="E492" s="1286"/>
      <c r="F492" s="1286"/>
      <c r="I492" s="490"/>
    </row>
    <row r="493" spans="1:9">
      <c r="D493" s="446"/>
      <c r="E493" s="446"/>
      <c r="F493" s="446"/>
      <c r="I493" s="490"/>
    </row>
    <row r="494" spans="1:9">
      <c r="B494" s="485" t="s">
        <v>2746</v>
      </c>
      <c r="D494" s="1287" t="s">
        <v>1141</v>
      </c>
      <c r="E494" s="1287"/>
      <c r="F494" s="1287"/>
      <c r="I494" s="490"/>
    </row>
    <row r="495" spans="1:9">
      <c r="A495" s="446"/>
      <c r="B495" s="446"/>
      <c r="I495" s="490"/>
    </row>
    <row r="496" spans="1:9">
      <c r="A496" s="1289" t="s">
        <v>1051</v>
      </c>
      <c r="B496" s="1289"/>
      <c r="C496" s="1289"/>
      <c r="D496" s="1289"/>
      <c r="E496" s="1289"/>
      <c r="F496" s="1289"/>
      <c r="G496" s="1289"/>
      <c r="H496" s="1028"/>
      <c r="I496" s="1153"/>
    </row>
    <row r="497" spans="1:9">
      <c r="A497" s="446"/>
      <c r="B497" s="446"/>
      <c r="I497" s="490"/>
    </row>
    <row r="498" spans="1:9">
      <c r="D498" s="1302" t="s">
        <v>884</v>
      </c>
      <c r="E498" s="1302"/>
      <c r="F498" s="1302"/>
      <c r="I498" s="490"/>
    </row>
    <row r="499" spans="1:9">
      <c r="A499" s="484"/>
      <c r="B499" s="484"/>
      <c r="D499" s="1298" t="s">
        <v>1142</v>
      </c>
      <c r="E499" s="1298"/>
      <c r="F499" s="1298"/>
      <c r="I499" s="490"/>
    </row>
    <row r="500" spans="1:9">
      <c r="A500" s="484"/>
      <c r="B500" s="484"/>
      <c r="D500" s="447"/>
      <c r="I500" s="490"/>
    </row>
    <row r="501" spans="1:9">
      <c r="A501" s="484"/>
      <c r="B501" s="485" t="s">
        <v>2746</v>
      </c>
      <c r="D501" s="1266" t="s">
        <v>1143</v>
      </c>
      <c r="E501" s="1266"/>
      <c r="F501" s="1266"/>
      <c r="I501" s="490"/>
    </row>
    <row r="502" spans="1:9">
      <c r="A502" s="484"/>
      <c r="B502" s="484"/>
      <c r="D502" s="1266"/>
      <c r="E502" s="1266"/>
      <c r="F502" s="1266"/>
      <c r="I502" s="490"/>
    </row>
    <row r="503" spans="1:9">
      <c r="A503" s="484"/>
      <c r="B503" s="484"/>
      <c r="D503" s="446"/>
      <c r="I503" s="490"/>
    </row>
    <row r="504" spans="1:9" ht="12.75" customHeight="1">
      <c r="B504" s="485" t="s">
        <v>2746</v>
      </c>
      <c r="D504" s="1290" t="s">
        <v>1274</v>
      </c>
      <c r="E504" s="1290"/>
      <c r="F504" s="1290"/>
      <c r="I504" s="490"/>
    </row>
    <row r="505" spans="1:9">
      <c r="A505" s="484"/>
      <c r="D505" s="1290"/>
      <c r="E505" s="1290"/>
      <c r="F505" s="1290"/>
      <c r="I505" s="490"/>
    </row>
    <row r="506" spans="1:9">
      <c r="A506" s="484"/>
      <c r="B506" s="484"/>
      <c r="D506" s="1290"/>
      <c r="E506" s="1290"/>
      <c r="F506" s="1290"/>
      <c r="I506" s="490"/>
    </row>
    <row r="507" spans="1:9">
      <c r="A507" s="484"/>
      <c r="B507" s="484"/>
      <c r="D507" s="1290"/>
      <c r="E507" s="1290"/>
      <c r="F507" s="1290"/>
      <c r="I507" s="490"/>
    </row>
    <row r="508" spans="1:9">
      <c r="A508" s="484"/>
      <c r="D508" s="520"/>
      <c r="E508" s="520"/>
      <c r="F508" s="520"/>
      <c r="I508" s="490"/>
    </row>
    <row r="509" spans="1:9">
      <c r="A509" s="484"/>
      <c r="B509" s="485" t="s">
        <v>2746</v>
      </c>
      <c r="D509" s="1287" t="s">
        <v>1144</v>
      </c>
      <c r="E509" s="1287"/>
      <c r="F509" s="1287"/>
      <c r="I509" s="490"/>
    </row>
    <row r="510" spans="1:9">
      <c r="A510" s="484"/>
      <c r="B510" s="484"/>
      <c r="D510" s="446"/>
      <c r="I510" s="490"/>
    </row>
    <row r="511" spans="1:9">
      <c r="A511" s="484"/>
      <c r="B511" s="485" t="s">
        <v>2746</v>
      </c>
      <c r="D511" s="1286" t="s">
        <v>1145</v>
      </c>
      <c r="E511" s="1286"/>
      <c r="F511" s="1286"/>
      <c r="I511" s="490"/>
    </row>
    <row r="512" spans="1:9">
      <c r="A512" s="484"/>
      <c r="D512" s="1286"/>
      <c r="E512" s="1286"/>
      <c r="F512" s="1286"/>
      <c r="I512" s="490"/>
    </row>
    <row r="513" spans="1:9">
      <c r="A513" s="490"/>
      <c r="B513" s="490"/>
      <c r="D513" s="447"/>
      <c r="I513" s="490"/>
    </row>
    <row r="514" spans="1:9">
      <c r="A514" s="490"/>
      <c r="B514" s="485" t="s">
        <v>2746</v>
      </c>
      <c r="D514" s="1287" t="s">
        <v>1146</v>
      </c>
      <c r="E514" s="1287"/>
      <c r="F514" s="1287"/>
      <c r="I514" s="490"/>
    </row>
    <row r="515" spans="1:9">
      <c r="D515" s="446"/>
      <c r="E515" s="446"/>
      <c r="F515" s="446"/>
      <c r="I515" s="490"/>
    </row>
    <row r="516" spans="1:9">
      <c r="B516" s="485" t="s">
        <v>2746</v>
      </c>
      <c r="D516" s="1286" t="s">
        <v>2282</v>
      </c>
      <c r="E516" s="1286"/>
      <c r="F516" s="1286"/>
      <c r="I516" s="490"/>
    </row>
    <row r="517" spans="1:9">
      <c r="D517" s="1286"/>
      <c r="E517" s="1286"/>
      <c r="F517" s="1286"/>
      <c r="I517" s="490"/>
    </row>
    <row r="518" spans="1:9">
      <c r="D518" s="1286"/>
      <c r="E518" s="1286"/>
      <c r="F518" s="1286"/>
      <c r="I518" s="490"/>
    </row>
    <row r="519" spans="1:9">
      <c r="D519" s="446"/>
      <c r="E519" s="446"/>
      <c r="F519" s="446"/>
      <c r="I519" s="490"/>
    </row>
    <row r="520" spans="1:9">
      <c r="A520" s="484"/>
      <c r="B520" s="484"/>
      <c r="D520" s="446"/>
      <c r="I520" s="490"/>
    </row>
    <row r="521" spans="1:9">
      <c r="A521" s="1289" t="s">
        <v>1052</v>
      </c>
      <c r="B521" s="1289"/>
      <c r="C521" s="1289"/>
      <c r="D521" s="1289"/>
      <c r="E521" s="1289"/>
      <c r="F521" s="1289"/>
      <c r="G521" s="1289"/>
      <c r="H521" s="1028"/>
      <c r="I521" s="1153"/>
    </row>
    <row r="522" spans="1:9" ht="12" customHeight="1">
      <c r="A522" s="484"/>
      <c r="B522" s="484"/>
      <c r="D522" s="446"/>
      <c r="I522" s="490"/>
    </row>
    <row r="523" spans="1:9">
      <c r="C523" s="482"/>
      <c r="D523" s="1294" t="s">
        <v>794</v>
      </c>
      <c r="E523" s="1294"/>
      <c r="F523" s="1294"/>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5" customHeight="1">
      <c r="A527" s="483"/>
      <c r="B527" s="485" t="s">
        <v>2745</v>
      </c>
      <c r="C527" s="483"/>
      <c r="D527" s="1266" t="s">
        <v>2061</v>
      </c>
      <c r="E527" s="1266"/>
      <c r="F527" s="1266"/>
      <c r="I527" s="490"/>
    </row>
    <row r="528" spans="1:9">
      <c r="A528" s="483"/>
      <c r="B528" s="483"/>
      <c r="C528" s="483"/>
      <c r="D528" s="1266"/>
      <c r="E528" s="1266"/>
      <c r="F528" s="1266"/>
      <c r="I528" s="490"/>
    </row>
    <row r="529" spans="1:9">
      <c r="A529" s="483"/>
      <c r="B529" s="483"/>
      <c r="C529" s="483"/>
      <c r="D529" s="451"/>
      <c r="E529" s="451"/>
      <c r="F529" s="451"/>
      <c r="I529" s="480"/>
    </row>
    <row r="530" spans="1:9" ht="12.75" customHeight="1">
      <c r="A530" s="483"/>
      <c r="B530" s="485" t="s">
        <v>2745</v>
      </c>
      <c r="D530" s="386" t="s">
        <v>1905</v>
      </c>
      <c r="E530" s="385"/>
      <c r="F530" s="385"/>
      <c r="I530" s="490"/>
    </row>
    <row r="531" spans="1:9">
      <c r="A531" s="483"/>
      <c r="B531" s="483"/>
      <c r="C531" s="483"/>
      <c r="D531" s="385"/>
      <c r="E531" s="96" t="s">
        <v>1906</v>
      </c>
      <c r="I531" s="490"/>
    </row>
    <row r="532" spans="1:9">
      <c r="A532" s="483"/>
      <c r="B532" s="483"/>
      <c r="D532" s="1283" t="s">
        <v>2062</v>
      </c>
      <c r="E532" s="1283"/>
      <c r="F532" s="1283"/>
      <c r="I532" s="490"/>
    </row>
    <row r="533" spans="1:9">
      <c r="A533" s="483"/>
      <c r="B533" s="483"/>
      <c r="D533" s="1283"/>
      <c r="E533" s="1283"/>
      <c r="F533" s="1283"/>
      <c r="I533" s="490"/>
    </row>
    <row r="534" spans="1:9">
      <c r="A534" s="483"/>
      <c r="B534" s="483"/>
      <c r="C534" s="483"/>
      <c r="D534" s="1283"/>
      <c r="E534" s="1283"/>
      <c r="F534" s="1283"/>
      <c r="I534" s="490"/>
    </row>
    <row r="535" spans="1:9">
      <c r="A535" s="483"/>
      <c r="B535" s="483"/>
      <c r="C535" s="483"/>
      <c r="D535" s="498"/>
      <c r="F535" s="446"/>
      <c r="I535" s="490"/>
    </row>
    <row r="536" spans="1:9" ht="13.15" customHeight="1">
      <c r="A536" s="483"/>
      <c r="B536" s="485" t="s">
        <v>2746</v>
      </c>
      <c r="C536" s="483"/>
      <c r="D536" s="1286" t="s">
        <v>2063</v>
      </c>
      <c r="E536" s="1286"/>
      <c r="F536" s="1286"/>
      <c r="I536" s="490"/>
    </row>
    <row r="537" spans="1:9">
      <c r="A537" s="483"/>
      <c r="B537" s="483"/>
      <c r="C537" s="483"/>
      <c r="D537" s="1286"/>
      <c r="E537" s="1286"/>
      <c r="F537" s="1286"/>
      <c r="I537" s="490"/>
    </row>
    <row r="538" spans="1:9" ht="12" customHeight="1">
      <c r="A538" s="446"/>
      <c r="B538" s="446"/>
      <c r="C538" s="487"/>
      <c r="D538" s="446"/>
      <c r="F538" s="448"/>
      <c r="I538" s="490"/>
    </row>
    <row r="539" spans="1:9">
      <c r="A539" s="1289" t="s">
        <v>1053</v>
      </c>
      <c r="B539" s="1289"/>
      <c r="C539" s="1289"/>
      <c r="D539" s="1289"/>
      <c r="E539" s="1289"/>
      <c r="F539" s="1289"/>
      <c r="G539" s="1289"/>
      <c r="H539" s="1028"/>
      <c r="I539" s="1153"/>
    </row>
    <row r="540" spans="1:9">
      <c r="A540" s="446"/>
      <c r="B540" s="446"/>
      <c r="C540" s="487"/>
      <c r="F540" s="448"/>
      <c r="I540" s="490"/>
    </row>
    <row r="541" spans="1:9">
      <c r="B541" s="1292" t="s">
        <v>447</v>
      </c>
      <c r="C541" s="1292"/>
      <c r="D541" s="1292"/>
      <c r="E541" s="1292"/>
      <c r="F541" s="1292"/>
      <c r="I541" s="490"/>
    </row>
    <row r="542" spans="1:9">
      <c r="A542" s="446"/>
      <c r="B542" s="446"/>
      <c r="C542" s="487"/>
      <c r="D542" s="446"/>
      <c r="F542" s="446"/>
      <c r="I542" s="490"/>
    </row>
    <row r="543" spans="1:9">
      <c r="A543" s="1293" t="s">
        <v>1054</v>
      </c>
      <c r="B543" s="1293"/>
      <c r="C543" s="1293"/>
      <c r="D543" s="1293"/>
      <c r="E543" s="1293"/>
      <c r="F543" s="1293"/>
      <c r="G543" s="1293"/>
      <c r="H543" s="1028"/>
      <c r="I543" s="1153"/>
    </row>
    <row r="544" spans="1:9">
      <c r="A544" s="446"/>
      <c r="B544" s="446"/>
      <c r="C544" s="487"/>
      <c r="D544" s="446"/>
      <c r="F544" s="446"/>
      <c r="I544" s="490"/>
    </row>
    <row r="545" spans="1:9">
      <c r="C545" s="487"/>
      <c r="D545" s="1294" t="s">
        <v>684</v>
      </c>
      <c r="E545" s="1294"/>
      <c r="F545" s="1294"/>
      <c r="I545" s="490"/>
    </row>
    <row r="546" spans="1:9">
      <c r="C546" s="487"/>
      <c r="D546" s="1287" t="s">
        <v>1082</v>
      </c>
      <c r="E546" s="1287"/>
      <c r="F546" s="1287"/>
      <c r="I546" s="490"/>
    </row>
    <row r="547" spans="1:9">
      <c r="C547" s="487"/>
      <c r="D547" s="446"/>
      <c r="E547" s="446"/>
      <c r="F547" s="446"/>
      <c r="I547" s="490"/>
    </row>
    <row r="548" spans="1:9" ht="13.75" customHeight="1">
      <c r="A548" s="484"/>
      <c r="B548" s="485" t="s">
        <v>2745</v>
      </c>
      <c r="C548" s="487"/>
      <c r="D548" s="1287" t="s">
        <v>885</v>
      </c>
      <c r="E548" s="1287"/>
      <c r="F548" s="1287"/>
      <c r="I548" s="490"/>
    </row>
    <row r="549" spans="1:9" ht="13.75" customHeight="1">
      <c r="A549" s="487"/>
      <c r="B549" s="487"/>
      <c r="C549" s="487"/>
      <c r="D549" s="446"/>
      <c r="I549" s="490"/>
    </row>
    <row r="550" spans="1:9">
      <c r="A550" s="484"/>
      <c r="B550" s="485" t="s">
        <v>2745</v>
      </c>
      <c r="C550" s="487"/>
      <c r="D550" s="1286" t="s">
        <v>1083</v>
      </c>
      <c r="E550" s="1286"/>
      <c r="F550" s="1286"/>
      <c r="I550" s="490"/>
    </row>
    <row r="551" spans="1:9">
      <c r="A551" s="487"/>
      <c r="B551" s="487"/>
      <c r="C551" s="487"/>
      <c r="D551" s="1286"/>
      <c r="E551" s="1286"/>
      <c r="F551" s="1286"/>
      <c r="I551" s="490"/>
    </row>
    <row r="552" spans="1:9">
      <c r="A552" s="487"/>
      <c r="B552" s="487"/>
      <c r="C552" s="487"/>
      <c r="D552" s="446"/>
      <c r="E552" s="446"/>
      <c r="F552" s="446"/>
      <c r="I552" s="490"/>
    </row>
    <row r="553" spans="1:9">
      <c r="A553" s="484"/>
      <c r="B553" s="485" t="s">
        <v>2745</v>
      </c>
      <c r="C553" s="487"/>
      <c r="D553" s="1286" t="s">
        <v>1084</v>
      </c>
      <c r="E553" s="1286"/>
      <c r="F553" s="1286"/>
      <c r="I553" s="490"/>
    </row>
    <row r="554" spans="1:9">
      <c r="A554" s="487"/>
      <c r="B554" s="487"/>
      <c r="C554" s="487"/>
      <c r="D554" s="1286"/>
      <c r="E554" s="1286"/>
      <c r="F554" s="1286"/>
      <c r="I554" s="490"/>
    </row>
    <row r="555" spans="1:9">
      <c r="A555" s="487"/>
      <c r="B555" s="487"/>
      <c r="C555" s="487"/>
      <c r="D555" s="446"/>
      <c r="E555" s="446"/>
      <c r="F555" s="446"/>
      <c r="I555" s="490"/>
    </row>
    <row r="556" spans="1:9">
      <c r="A556" s="484"/>
      <c r="B556" s="485" t="s">
        <v>2745</v>
      </c>
      <c r="C556" s="487"/>
      <c r="D556" s="1286" t="s">
        <v>1085</v>
      </c>
      <c r="E556" s="1286"/>
      <c r="F556" s="1286"/>
      <c r="I556" s="490"/>
    </row>
    <row r="557" spans="1:9">
      <c r="A557" s="487"/>
      <c r="B557" s="487"/>
      <c r="C557" s="487"/>
      <c r="D557" s="1286"/>
      <c r="E557" s="1286"/>
      <c r="F557" s="1286"/>
      <c r="I557" s="490"/>
    </row>
    <row r="558" spans="1:9">
      <c r="A558" s="487"/>
      <c r="B558" s="487"/>
      <c r="C558" s="487"/>
      <c r="D558" s="446"/>
      <c r="E558" s="446"/>
      <c r="F558" s="446"/>
      <c r="I558" s="490"/>
    </row>
    <row r="559" spans="1:9">
      <c r="A559" s="484"/>
      <c r="B559" s="485" t="s">
        <v>2745</v>
      </c>
      <c r="C559" s="487"/>
      <c r="D559" s="1286" t="s">
        <v>1086</v>
      </c>
      <c r="E559" s="1286"/>
      <c r="F559" s="1286"/>
      <c r="I559" s="490"/>
    </row>
    <row r="560" spans="1:9">
      <c r="A560" s="487"/>
      <c r="B560" s="487"/>
      <c r="C560" s="487"/>
      <c r="D560" s="1286"/>
      <c r="E560" s="1286"/>
      <c r="F560" s="1286"/>
      <c r="I560" s="490"/>
    </row>
    <row r="561" spans="1:9">
      <c r="A561" s="487"/>
      <c r="B561" s="487"/>
      <c r="C561" s="487"/>
      <c r="D561" s="1286"/>
      <c r="E561" s="1286"/>
      <c r="F561" s="1286"/>
      <c r="I561" s="490"/>
    </row>
    <row r="562" spans="1:9">
      <c r="A562" s="487"/>
      <c r="B562" s="487"/>
      <c r="C562" s="487"/>
      <c r="D562" s="446"/>
      <c r="E562" s="446"/>
      <c r="F562" s="446"/>
      <c r="I562" s="490"/>
    </row>
    <row r="563" spans="1:9">
      <c r="A563" s="484"/>
      <c r="B563" s="485" t="s">
        <v>2746</v>
      </c>
      <c r="C563" s="487"/>
      <c r="D563" s="1286" t="s">
        <v>2249</v>
      </c>
      <c r="E563" s="1286"/>
      <c r="F563" s="1286"/>
      <c r="I563" s="490"/>
    </row>
    <row r="564" spans="1:9">
      <c r="A564" s="487"/>
      <c r="B564" s="487"/>
      <c r="C564" s="487"/>
      <c r="D564" s="1286"/>
      <c r="E564" s="1286"/>
      <c r="F564" s="1286"/>
      <c r="I564" s="490"/>
    </row>
    <row r="565" spans="1:9">
      <c r="A565" s="487"/>
      <c r="B565" s="487"/>
      <c r="C565" s="487"/>
      <c r="D565" s="446"/>
      <c r="E565" s="446"/>
      <c r="F565" s="446"/>
      <c r="I565" s="490"/>
    </row>
    <row r="566" spans="1:9">
      <c r="A566" s="484"/>
      <c r="B566" s="485" t="s">
        <v>2745</v>
      </c>
      <c r="C566" s="487"/>
      <c r="D566" s="1286" t="s">
        <v>1087</v>
      </c>
      <c r="E566" s="1286"/>
      <c r="F566" s="1286"/>
      <c r="I566" s="490"/>
    </row>
    <row r="567" spans="1:9">
      <c r="A567" s="487"/>
      <c r="B567" s="487"/>
      <c r="C567" s="487"/>
      <c r="D567" s="1286"/>
      <c r="E567" s="1286"/>
      <c r="F567" s="1286"/>
      <c r="I567" s="490"/>
    </row>
    <row r="568" spans="1:9">
      <c r="A568" s="487"/>
      <c r="B568" s="487"/>
      <c r="C568" s="487"/>
      <c r="D568" s="446"/>
      <c r="E568" s="446"/>
      <c r="F568" s="446"/>
      <c r="I568" s="490"/>
    </row>
    <row r="569" spans="1:9">
      <c r="A569" s="484"/>
      <c r="B569" s="485" t="s">
        <v>2745</v>
      </c>
      <c r="C569" s="487"/>
      <c r="D569" s="1287" t="s">
        <v>1088</v>
      </c>
      <c r="E569" s="1287"/>
      <c r="F569" s="1287"/>
      <c r="I569" s="490"/>
    </row>
    <row r="570" spans="1:9">
      <c r="A570" s="490"/>
      <c r="B570" s="490"/>
      <c r="C570" s="487"/>
      <c r="D570" s="1287" t="s">
        <v>1908</v>
      </c>
      <c r="E570" s="1287"/>
      <c r="F570" s="1287"/>
      <c r="I570" s="490"/>
    </row>
    <row r="571" spans="1:9">
      <c r="A571" s="490"/>
      <c r="B571" s="490"/>
      <c r="C571" s="487"/>
      <c r="E571" s="96" t="s">
        <v>1907</v>
      </c>
      <c r="F571" s="404"/>
      <c r="I571" s="490"/>
    </row>
    <row r="572" spans="1:9">
      <c r="A572" s="484"/>
      <c r="B572" s="484"/>
      <c r="C572" s="487"/>
      <c r="E572" s="446"/>
      <c r="F572" s="446"/>
      <c r="I572" s="490"/>
    </row>
    <row r="573" spans="1:9">
      <c r="A573" s="484"/>
      <c r="B573" s="485" t="s">
        <v>2745</v>
      </c>
      <c r="C573" s="487"/>
      <c r="D573" s="1287" t="s">
        <v>1089</v>
      </c>
      <c r="E573" s="1287"/>
      <c r="F573" s="1287"/>
      <c r="I573" s="490"/>
    </row>
    <row r="574" spans="1:9">
      <c r="C574" s="487"/>
      <c r="D574" s="1286" t="s">
        <v>1090</v>
      </c>
      <c r="E574" s="1286"/>
      <c r="F574" s="1286"/>
      <c r="I574" s="490"/>
    </row>
    <row r="575" spans="1:9">
      <c r="A575" s="487"/>
      <c r="B575" s="487"/>
      <c r="C575" s="487"/>
      <c r="D575" s="1286"/>
      <c r="E575" s="1286"/>
      <c r="F575" s="1286"/>
      <c r="I575" s="490"/>
    </row>
    <row r="576" spans="1:9">
      <c r="A576" s="487"/>
      <c r="B576" s="487"/>
      <c r="C576" s="487"/>
      <c r="D576" s="1286"/>
      <c r="E576" s="1286"/>
      <c r="F576" s="1286"/>
      <c r="I576" s="490"/>
    </row>
    <row r="577" spans="1:9">
      <c r="A577" s="487"/>
      <c r="B577" s="487"/>
      <c r="C577" s="487"/>
      <c r="D577" s="446"/>
      <c r="E577" s="446"/>
      <c r="F577" s="446"/>
      <c r="I577" s="490"/>
    </row>
    <row r="578" spans="1:9">
      <c r="A578" s="484"/>
      <c r="B578" s="485" t="s">
        <v>2745</v>
      </c>
      <c r="C578" s="487"/>
      <c r="D578" s="1286" t="s">
        <v>2064</v>
      </c>
      <c r="E578" s="1286"/>
      <c r="F578" s="1286"/>
      <c r="I578" s="490"/>
    </row>
    <row r="579" spans="1:9">
      <c r="A579" s="484"/>
      <c r="B579" s="484"/>
      <c r="C579" s="487"/>
      <c r="D579" s="1286"/>
      <c r="E579" s="1286"/>
      <c r="F579" s="1286"/>
      <c r="I579" s="490"/>
    </row>
    <row r="580" spans="1:9">
      <c r="A580" s="484"/>
      <c r="B580" s="484"/>
      <c r="C580" s="487"/>
      <c r="D580" s="1286"/>
      <c r="E580" s="1286"/>
      <c r="F580" s="1286"/>
      <c r="I580" s="490"/>
    </row>
    <row r="581" spans="1:9">
      <c r="A581" s="484"/>
      <c r="B581" s="484"/>
      <c r="C581" s="487"/>
      <c r="D581" s="1286"/>
      <c r="E581" s="1286"/>
      <c r="F581" s="1286"/>
      <c r="I581" s="490"/>
    </row>
    <row r="582" spans="1:9">
      <c r="A582" s="484"/>
      <c r="B582" s="484"/>
      <c r="C582" s="487"/>
      <c r="D582" s="446"/>
      <c r="E582" s="446"/>
      <c r="F582" s="446"/>
      <c r="I582" s="490"/>
    </row>
    <row r="583" spans="1:9">
      <c r="A583" s="1289" t="s">
        <v>1055</v>
      </c>
      <c r="B583" s="1289"/>
      <c r="C583" s="1289"/>
      <c r="D583" s="1289"/>
      <c r="E583" s="1289"/>
      <c r="F583" s="1289"/>
      <c r="G583" s="1289"/>
      <c r="H583" s="1028"/>
      <c r="I583" s="1153"/>
    </row>
    <row r="584" spans="1:9">
      <c r="A584" s="487"/>
      <c r="B584" s="487"/>
      <c r="C584" s="487"/>
      <c r="E584" s="446"/>
      <c r="F584" s="446"/>
      <c r="I584" s="490"/>
    </row>
    <row r="585" spans="1:9" ht="12.75" customHeight="1">
      <c r="C585" s="482"/>
      <c r="D585" s="1288" t="s">
        <v>210</v>
      </c>
      <c r="E585" s="1288"/>
      <c r="F585" s="1288"/>
      <c r="I585" s="490"/>
    </row>
    <row r="586" spans="1:9">
      <c r="A586" s="483"/>
      <c r="B586" s="483"/>
      <c r="C586" s="483"/>
      <c r="D586" s="1290" t="s">
        <v>1068</v>
      </c>
      <c r="E586" s="1290"/>
      <c r="F586" s="1290"/>
      <c r="I586" s="490"/>
    </row>
    <row r="587" spans="1:9">
      <c r="A587" s="402"/>
      <c r="B587" s="402"/>
      <c r="C587" s="483"/>
      <c r="D587" s="499"/>
      <c r="I587" s="490"/>
    </row>
    <row r="588" spans="1:9">
      <c r="A588" s="483"/>
      <c r="B588" s="485" t="s">
        <v>2745</v>
      </c>
      <c r="D588" s="1290" t="s">
        <v>889</v>
      </c>
      <c r="E588" s="1290"/>
      <c r="F588" s="1290"/>
      <c r="I588" s="490"/>
    </row>
    <row r="589" spans="1:9">
      <c r="A589" s="490"/>
      <c r="B589" s="490"/>
      <c r="D589" s="476"/>
      <c r="I589" s="490"/>
    </row>
    <row r="590" spans="1:9">
      <c r="A590" s="490"/>
      <c r="B590" s="485" t="s">
        <v>2745</v>
      </c>
      <c r="D590" s="1290" t="s">
        <v>2065</v>
      </c>
      <c r="E590" s="1290"/>
      <c r="F590" s="1290"/>
      <c r="I590" s="490"/>
    </row>
    <row r="591" spans="1:9">
      <c r="A591" s="490"/>
      <c r="B591" s="490"/>
      <c r="D591" s="1290"/>
      <c r="E591" s="1290"/>
      <c r="F591" s="1290"/>
      <c r="I591" s="490"/>
    </row>
    <row r="592" spans="1:9">
      <c r="A592" s="490"/>
      <c r="B592" s="490"/>
      <c r="D592" s="1290"/>
      <c r="E592" s="1290"/>
      <c r="F592" s="1290"/>
      <c r="I592" s="490"/>
    </row>
    <row r="593" spans="1:9">
      <c r="A593" s="490"/>
      <c r="B593" s="490"/>
      <c r="D593" s="1290"/>
      <c r="E593" s="1290"/>
      <c r="F593" s="1290"/>
      <c r="I593" s="490"/>
    </row>
    <row r="594" spans="1:9">
      <c r="A594" s="490"/>
      <c r="B594" s="485" t="s">
        <v>2746</v>
      </c>
      <c r="D594" s="1290" t="s">
        <v>1069</v>
      </c>
      <c r="E594" s="1290"/>
      <c r="F594" s="1290"/>
      <c r="I594" s="490"/>
    </row>
    <row r="595" spans="1:9">
      <c r="A595" s="490"/>
      <c r="B595" s="490"/>
      <c r="D595" s="1290"/>
      <c r="E595" s="1290"/>
      <c r="F595" s="1290"/>
      <c r="I595" s="490"/>
    </row>
    <row r="596" spans="1:9">
      <c r="A596" s="490"/>
      <c r="B596" s="490"/>
      <c r="D596" s="1290"/>
      <c r="E596" s="1290"/>
      <c r="F596" s="1290"/>
      <c r="I596" s="490"/>
    </row>
    <row r="597" spans="1:9">
      <c r="A597" s="490"/>
      <c r="B597" s="490"/>
      <c r="D597" s="1290"/>
      <c r="E597" s="1290"/>
      <c r="F597" s="1290"/>
      <c r="I597" s="490"/>
    </row>
    <row r="598" spans="1:9">
      <c r="A598" s="490"/>
      <c r="B598" s="490"/>
      <c r="D598" s="440"/>
      <c r="E598" s="440"/>
      <c r="F598" s="440"/>
      <c r="I598" s="490"/>
    </row>
    <row r="599" spans="1:9">
      <c r="A599" s="490"/>
      <c r="B599" s="485" t="s">
        <v>2745</v>
      </c>
      <c r="D599" s="1290" t="s">
        <v>2066</v>
      </c>
      <c r="E599" s="1290"/>
      <c r="F599" s="1290"/>
      <c r="I599" s="490"/>
    </row>
    <row r="600" spans="1:9">
      <c r="A600" s="490"/>
      <c r="B600" s="490"/>
      <c r="D600" s="1290"/>
      <c r="E600" s="1290"/>
      <c r="F600" s="1290"/>
      <c r="I600" s="490"/>
    </row>
    <row r="601" spans="1:9">
      <c r="A601" s="490"/>
      <c r="B601" s="490"/>
      <c r="D601" s="499"/>
      <c r="I601" s="490"/>
    </row>
    <row r="602" spans="1:9">
      <c r="A602" s="490"/>
      <c r="B602" s="485" t="s">
        <v>2746</v>
      </c>
      <c r="D602" s="1290" t="s">
        <v>1070</v>
      </c>
      <c r="E602" s="1290"/>
      <c r="F602" s="1290"/>
      <c r="I602" s="490"/>
    </row>
    <row r="603" spans="1:9">
      <c r="A603" s="490"/>
      <c r="B603" s="490"/>
      <c r="D603" s="1290"/>
      <c r="E603" s="1290"/>
      <c r="F603" s="1290"/>
      <c r="I603" s="490"/>
    </row>
    <row r="604" spans="1:9">
      <c r="A604" s="484"/>
      <c r="B604" s="484"/>
      <c r="D604" s="499"/>
      <c r="I604" s="490"/>
    </row>
    <row r="605" spans="1:9">
      <c r="A605" s="1289" t="s">
        <v>1056</v>
      </c>
      <c r="B605" s="1289"/>
      <c r="C605" s="1289"/>
      <c r="D605" s="1289"/>
      <c r="E605" s="1289"/>
      <c r="F605" s="1289"/>
      <c r="G605" s="1289"/>
      <c r="H605" s="1028"/>
      <c r="I605" s="1153"/>
    </row>
    <row r="606" spans="1:9">
      <c r="I606" s="490"/>
    </row>
    <row r="607" spans="1:9">
      <c r="D607" s="1294" t="s">
        <v>1108</v>
      </c>
      <c r="E607" s="1294"/>
      <c r="F607" s="1294"/>
      <c r="I607" s="490"/>
    </row>
    <row r="608" spans="1:9">
      <c r="D608" s="1295" t="s">
        <v>1109</v>
      </c>
      <c r="E608" s="1295"/>
      <c r="F608" s="1295"/>
      <c r="I608" s="490"/>
    </row>
    <row r="609" spans="1:9">
      <c r="D609" s="444"/>
      <c r="I609" s="490"/>
    </row>
    <row r="610" spans="1:9" ht="14.25" customHeight="1">
      <c r="A610" s="484"/>
      <c r="B610" s="485" t="s">
        <v>2745</v>
      </c>
      <c r="D610" s="1315" t="s">
        <v>1909</v>
      </c>
      <c r="E610" s="1315"/>
      <c r="F610" s="1315"/>
      <c r="I610" s="490"/>
    </row>
    <row r="611" spans="1:9">
      <c r="D611" s="1315"/>
      <c r="E611" s="1315"/>
      <c r="F611" s="1315"/>
      <c r="I611" s="490"/>
    </row>
    <row r="612" spans="1:9">
      <c r="D612" s="385"/>
      <c r="E612" s="1036" t="s">
        <v>1910</v>
      </c>
      <c r="F612" s="385"/>
      <c r="I612" s="490"/>
    </row>
    <row r="613" spans="1:9">
      <c r="I613" s="490"/>
    </row>
    <row r="614" spans="1:9">
      <c r="A614" s="1289" t="s">
        <v>1057</v>
      </c>
      <c r="B614" s="1289"/>
      <c r="C614" s="1289"/>
      <c r="D614" s="1289"/>
      <c r="E614" s="1289"/>
      <c r="F614" s="1289"/>
      <c r="G614" s="1289"/>
      <c r="H614" s="1028"/>
      <c r="I614" s="1153"/>
    </row>
    <row r="615" spans="1:9">
      <c r="A615" s="446"/>
      <c r="B615" s="446"/>
      <c r="I615" s="490"/>
    </row>
    <row r="616" spans="1:9">
      <c r="A616" s="482"/>
      <c r="B616" s="482"/>
      <c r="C616" s="482"/>
      <c r="D616" s="1323" t="s">
        <v>1110</v>
      </c>
      <c r="E616" s="1323"/>
      <c r="F616" s="1323"/>
      <c r="I616" s="490"/>
    </row>
    <row r="617" spans="1:9">
      <c r="A617" s="482"/>
      <c r="B617" s="482"/>
      <c r="C617" s="482"/>
      <c r="D617" s="1323"/>
      <c r="E617" s="1323"/>
      <c r="F617" s="1323"/>
      <c r="I617" s="490"/>
    </row>
    <row r="618" spans="1:9">
      <c r="C618" s="483"/>
      <c r="D618" s="1295" t="s">
        <v>1111</v>
      </c>
      <c r="E618" s="1295"/>
      <c r="F618" s="1295"/>
      <c r="I618" s="490"/>
    </row>
    <row r="619" spans="1:9">
      <c r="C619" s="483"/>
      <c r="D619" s="444"/>
      <c r="E619" s="444"/>
      <c r="F619" s="444"/>
      <c r="I619" s="490"/>
    </row>
    <row r="620" spans="1:9" ht="12.75" customHeight="1">
      <c r="A620" s="490"/>
      <c r="B620" s="485" t="s">
        <v>2745</v>
      </c>
      <c r="D620" s="1311" t="s">
        <v>1112</v>
      </c>
      <c r="E620" s="1311"/>
      <c r="F620" s="1311"/>
      <c r="I620" s="490"/>
    </row>
    <row r="621" spans="1:9">
      <c r="D621" s="1311"/>
      <c r="E621" s="1311"/>
      <c r="F621" s="1311"/>
      <c r="I621" s="490"/>
    </row>
    <row r="622" spans="1:9">
      <c r="I622" s="490"/>
    </row>
    <row r="623" spans="1:9">
      <c r="B623" s="485" t="s">
        <v>2745</v>
      </c>
      <c r="D623" s="1311" t="s">
        <v>1113</v>
      </c>
      <c r="E623" s="1311"/>
      <c r="F623" s="1311"/>
      <c r="I623" s="490"/>
    </row>
    <row r="624" spans="1:9">
      <c r="C624" s="500"/>
      <c r="D624" s="1311"/>
      <c r="E624" s="1311"/>
      <c r="F624" s="1311"/>
      <c r="I624" s="490"/>
    </row>
    <row r="625" spans="1:9">
      <c r="C625" s="500"/>
      <c r="I625" s="490"/>
    </row>
    <row r="626" spans="1:9">
      <c r="B626" s="485" t="s">
        <v>2746</v>
      </c>
      <c r="C626" s="500"/>
      <c r="D626" s="1311" t="s">
        <v>1114</v>
      </c>
      <c r="E626" s="1311"/>
      <c r="F626" s="1311"/>
      <c r="I626" s="490"/>
    </row>
    <row r="627" spans="1:9">
      <c r="C627" s="500"/>
      <c r="D627" s="1311"/>
      <c r="E627" s="1311"/>
      <c r="F627" s="1311"/>
      <c r="I627" s="500"/>
    </row>
    <row r="628" spans="1:9">
      <c r="C628" s="500"/>
      <c r="I628" s="490"/>
    </row>
    <row r="629" spans="1:9">
      <c r="A629" s="1289" t="s">
        <v>1058</v>
      </c>
      <c r="B629" s="1289"/>
      <c r="C629" s="1289"/>
      <c r="D629" s="1289"/>
      <c r="E629" s="1289"/>
      <c r="F629" s="1289"/>
      <c r="G629" s="1289"/>
      <c r="H629" s="1028"/>
      <c r="I629" s="1153"/>
    </row>
    <row r="630" spans="1:9">
      <c r="A630" s="482"/>
      <c r="B630" s="482"/>
      <c r="C630" s="482"/>
      <c r="I630" s="490"/>
    </row>
    <row r="631" spans="1:9">
      <c r="C631" s="490"/>
      <c r="D631" s="1294" t="s">
        <v>1115</v>
      </c>
      <c r="E631" s="1294"/>
      <c r="F631" s="1294"/>
      <c r="I631" s="490"/>
    </row>
    <row r="632" spans="1:9">
      <c r="A632" s="490"/>
      <c r="B632" s="490"/>
      <c r="D632" s="404"/>
      <c r="I632" s="490"/>
    </row>
    <row r="633" spans="1:9" ht="14.25" customHeight="1">
      <c r="A633" s="484"/>
      <c r="B633" s="485" t="s">
        <v>2745</v>
      </c>
      <c r="D633" s="1315" t="s">
        <v>2067</v>
      </c>
      <c r="E633" s="1315"/>
      <c r="F633" s="1315"/>
      <c r="I633" s="490"/>
    </row>
    <row r="634" spans="1:9">
      <c r="D634" s="1315"/>
      <c r="E634" s="1315"/>
      <c r="F634" s="1315"/>
      <c r="I634" s="490"/>
    </row>
    <row r="635" spans="1:9">
      <c r="D635" s="385"/>
      <c r="E635" s="1036" t="s">
        <v>1912</v>
      </c>
      <c r="F635" s="385"/>
      <c r="I635" s="490"/>
    </row>
    <row r="636" spans="1:9">
      <c r="D636" s="1286" t="s">
        <v>1911</v>
      </c>
      <c r="E636" s="1286"/>
      <c r="F636" s="1286"/>
      <c r="I636" s="490"/>
    </row>
    <row r="637" spans="1:9">
      <c r="D637" s="1286"/>
      <c r="E637" s="1286"/>
      <c r="F637" s="1286"/>
      <c r="I637" s="490"/>
    </row>
    <row r="638" spans="1:9">
      <c r="D638" s="1286"/>
      <c r="E638" s="1286"/>
      <c r="F638" s="1286"/>
      <c r="I638" s="490"/>
    </row>
    <row r="639" spans="1:9">
      <c r="D639" s="445"/>
      <c r="E639" s="445"/>
      <c r="F639" s="445"/>
      <c r="I639" s="490"/>
    </row>
    <row r="640" spans="1:9">
      <c r="A640" s="484"/>
      <c r="B640" s="485" t="s">
        <v>2746</v>
      </c>
      <c r="D640" s="1286" t="s">
        <v>1116</v>
      </c>
      <c r="E640" s="1286"/>
      <c r="F640" s="1286"/>
      <c r="I640" s="490"/>
    </row>
    <row r="641" spans="1:9">
      <c r="A641" s="487"/>
      <c r="B641" s="487"/>
      <c r="C641" s="487"/>
      <c r="D641" s="1286"/>
      <c r="E641" s="1286"/>
      <c r="F641" s="1286"/>
      <c r="I641" s="490"/>
    </row>
    <row r="642" spans="1:9">
      <c r="A642" s="487"/>
      <c r="B642" s="487"/>
      <c r="C642" s="487"/>
      <c r="D642" s="446"/>
      <c r="E642" s="446"/>
      <c r="F642" s="446"/>
      <c r="I642" s="490"/>
    </row>
    <row r="643" spans="1:9">
      <c r="A643" s="484"/>
      <c r="B643" s="485" t="s">
        <v>2746</v>
      </c>
      <c r="C643" s="487"/>
      <c r="D643" s="1286" t="s">
        <v>1226</v>
      </c>
      <c r="E643" s="1286"/>
      <c r="F643" s="1286"/>
      <c r="I643" s="490"/>
    </row>
    <row r="644" spans="1:9">
      <c r="A644" s="484"/>
      <c r="B644" s="484"/>
      <c r="C644" s="487"/>
      <c r="D644" s="1286"/>
      <c r="E644" s="1286"/>
      <c r="F644" s="1286"/>
      <c r="I644" s="490"/>
    </row>
    <row r="645" spans="1:9">
      <c r="A645" s="484"/>
      <c r="B645" s="484"/>
      <c r="C645" s="487"/>
      <c r="D645" s="1286"/>
      <c r="E645" s="1286"/>
      <c r="F645" s="1286"/>
      <c r="I645" s="490"/>
    </row>
    <row r="646" spans="1:9">
      <c r="A646" s="487"/>
      <c r="B646" s="485" t="s">
        <v>2746</v>
      </c>
      <c r="C646" s="487"/>
      <c r="D646" s="1287" t="s">
        <v>1117</v>
      </c>
      <c r="E646" s="1287"/>
      <c r="F646" s="1287"/>
      <c r="I646" s="490"/>
    </row>
    <row r="647" spans="1:9">
      <c r="A647" s="487"/>
      <c r="B647" s="487"/>
      <c r="C647" s="487"/>
      <c r="D647" s="446"/>
      <c r="E647" s="446"/>
      <c r="F647" s="446"/>
      <c r="I647" s="490"/>
    </row>
    <row r="648" spans="1:9">
      <c r="A648" s="1289" t="s">
        <v>1059</v>
      </c>
      <c r="B648" s="1289"/>
      <c r="C648" s="1289"/>
      <c r="D648" s="1289"/>
      <c r="E648" s="1289"/>
      <c r="F648" s="1289"/>
      <c r="G648" s="1289"/>
      <c r="H648" s="1028"/>
      <c r="I648" s="1153"/>
    </row>
    <row r="649" spans="1:9">
      <c r="A649" s="446"/>
      <c r="B649" s="446"/>
      <c r="C649" s="487"/>
      <c r="D649" s="446"/>
      <c r="E649" s="446"/>
      <c r="F649" s="446"/>
      <c r="I649" s="490"/>
    </row>
    <row r="650" spans="1:9">
      <c r="C650" s="482"/>
      <c r="D650" s="1294" t="s">
        <v>1147</v>
      </c>
      <c r="E650" s="1294"/>
      <c r="F650" s="1294"/>
      <c r="I650" s="490"/>
    </row>
    <row r="651" spans="1:9">
      <c r="A651" s="483"/>
      <c r="B651" s="483"/>
      <c r="C651" s="483"/>
      <c r="D651" s="1287" t="s">
        <v>1148</v>
      </c>
      <c r="E651" s="1287"/>
      <c r="F651" s="1287"/>
      <c r="I651" s="490"/>
    </row>
    <row r="652" spans="1:9">
      <c r="A652" s="483"/>
      <c r="B652" s="483"/>
      <c r="C652" s="483"/>
      <c r="D652" s="446"/>
      <c r="E652" s="446"/>
      <c r="F652" s="446"/>
      <c r="I652" s="490"/>
    </row>
    <row r="653" spans="1:9" ht="12.75" customHeight="1">
      <c r="B653" s="485" t="s">
        <v>2746</v>
      </c>
      <c r="C653" s="487"/>
      <c r="D653" s="1286" t="s">
        <v>1282</v>
      </c>
      <c r="E653" s="1286"/>
      <c r="F653" s="1286"/>
      <c r="I653" s="490"/>
    </row>
    <row r="654" spans="1:9">
      <c r="D654" s="1286"/>
      <c r="E654" s="1286"/>
      <c r="F654" s="1286"/>
      <c r="I654" s="490"/>
    </row>
    <row r="655" spans="1:9">
      <c r="D655" s="1286"/>
      <c r="E655" s="1286"/>
      <c r="F655" s="1286"/>
      <c r="I655" s="490"/>
    </row>
    <row r="656" spans="1:9">
      <c r="D656" s="1286"/>
      <c r="E656" s="1286"/>
      <c r="F656" s="1286"/>
      <c r="I656" s="490"/>
    </row>
    <row r="657" spans="1:9" ht="14.5" customHeight="1">
      <c r="A657" s="484"/>
      <c r="B657" s="484"/>
      <c r="C657" s="487"/>
      <c r="D657" s="385"/>
      <c r="E657" s="385"/>
      <c r="F657" s="385"/>
      <c r="I657" s="490"/>
    </row>
    <row r="658" spans="1:9" ht="12.75" customHeight="1">
      <c r="A658" s="483"/>
      <c r="B658" s="485" t="s">
        <v>2746</v>
      </c>
      <c r="C658" s="487"/>
      <c r="D658" s="1286" t="s">
        <v>1284</v>
      </c>
      <c r="E658" s="1286"/>
      <c r="F658" s="1286"/>
      <c r="I658" s="490"/>
    </row>
    <row r="659" spans="1:9">
      <c r="A659" s="483"/>
      <c r="B659" s="484"/>
      <c r="C659" s="487"/>
      <c r="D659" s="1286"/>
      <c r="E659" s="1286"/>
      <c r="F659" s="1286"/>
      <c r="I659" s="490"/>
    </row>
    <row r="660" spans="1:9">
      <c r="A660" s="483"/>
      <c r="B660" s="484"/>
      <c r="C660" s="487"/>
      <c r="D660" s="1286"/>
      <c r="E660" s="1286"/>
      <c r="F660" s="1286"/>
      <c r="I660" s="490"/>
    </row>
    <row r="661" spans="1:9">
      <c r="A661" s="483"/>
      <c r="B661" s="484"/>
      <c r="C661" s="487"/>
      <c r="D661" s="1286"/>
      <c r="E661" s="1286"/>
      <c r="F661" s="1286"/>
      <c r="I661" s="490"/>
    </row>
    <row r="662" spans="1:9">
      <c r="A662" s="483"/>
      <c r="B662" s="484"/>
      <c r="C662" s="487"/>
      <c r="D662" s="1286"/>
      <c r="E662" s="1286"/>
      <c r="F662" s="1286"/>
      <c r="I662" s="490"/>
    </row>
    <row r="663" spans="1:9" ht="14.25" customHeight="1">
      <c r="A663" s="483"/>
      <c r="B663" s="484"/>
      <c r="C663" s="487"/>
      <c r="F663" s="386"/>
      <c r="I663" s="490"/>
    </row>
    <row r="664" spans="1:9" ht="12.75" customHeight="1">
      <c r="A664" s="483"/>
      <c r="B664" s="485" t="s">
        <v>2746</v>
      </c>
      <c r="C664" s="487"/>
      <c r="D664" s="1286" t="s">
        <v>1283</v>
      </c>
      <c r="E664" s="1286"/>
      <c r="F664" s="1286"/>
      <c r="I664" s="490"/>
    </row>
    <row r="665" spans="1:9">
      <c r="A665" s="483"/>
      <c r="B665" s="484"/>
      <c r="C665" s="487"/>
      <c r="D665" s="1286"/>
      <c r="E665" s="1286"/>
      <c r="F665" s="1286"/>
      <c r="I665" s="490"/>
    </row>
    <row r="666" spans="1:9">
      <c r="A666" s="484"/>
      <c r="B666" s="484"/>
      <c r="C666" s="487"/>
      <c r="D666" s="1286"/>
      <c r="E666" s="1286"/>
      <c r="F666" s="1286"/>
      <c r="I666" s="490"/>
    </row>
    <row r="667" spans="1:9">
      <c r="A667" s="484"/>
      <c r="B667" s="484"/>
      <c r="C667" s="487"/>
      <c r="D667" s="1286"/>
      <c r="E667" s="1286"/>
      <c r="F667" s="1286"/>
      <c r="I667" s="490"/>
    </row>
    <row r="668" spans="1:9">
      <c r="A668" s="484"/>
      <c r="B668" s="484"/>
      <c r="C668" s="487"/>
      <c r="D668" s="445"/>
      <c r="E668" s="445"/>
      <c r="F668" s="445"/>
      <c r="I668" s="490"/>
    </row>
    <row r="669" spans="1:9" ht="12.75" customHeight="1">
      <c r="A669" s="483"/>
      <c r="B669" s="485" t="s">
        <v>2746</v>
      </c>
      <c r="C669" s="487"/>
      <c r="D669" s="1286" t="s">
        <v>2068</v>
      </c>
      <c r="E669" s="1286"/>
      <c r="F669" s="1286"/>
      <c r="I669" s="490"/>
    </row>
    <row r="670" spans="1:9" ht="12.75" customHeight="1">
      <c r="A670" s="483"/>
      <c r="B670" s="484"/>
      <c r="C670" s="487"/>
      <c r="D670" s="1286"/>
      <c r="E670" s="1286"/>
      <c r="F670" s="1286"/>
      <c r="I670" s="490"/>
    </row>
    <row r="671" spans="1:9" ht="12.75" customHeight="1">
      <c r="A671" s="483"/>
      <c r="B671" s="484"/>
      <c r="C671" s="487"/>
      <c r="D671" s="1286"/>
      <c r="E671" s="1286"/>
      <c r="F671" s="1286"/>
      <c r="I671" s="490"/>
    </row>
    <row r="672" spans="1:9" ht="12.75" customHeight="1">
      <c r="A672" s="483"/>
      <c r="B672" s="484"/>
      <c r="C672" s="487"/>
      <c r="D672" s="1286"/>
      <c r="E672" s="1286"/>
      <c r="F672" s="1286"/>
      <c r="I672" s="490"/>
    </row>
    <row r="673" spans="1:11" ht="12.75" customHeight="1">
      <c r="A673" s="483"/>
      <c r="B673" s="484"/>
      <c r="C673" s="487"/>
      <c r="D673" s="1286"/>
      <c r="E673" s="1286"/>
      <c r="F673" s="1286"/>
      <c r="I673" s="490"/>
    </row>
    <row r="674" spans="1:11" ht="12.75" customHeight="1">
      <c r="A674" s="483"/>
      <c r="B674" s="484"/>
      <c r="C674" s="487"/>
      <c r="D674" s="1286"/>
      <c r="E674" s="1286"/>
      <c r="F674" s="1286"/>
      <c r="I674" s="490"/>
    </row>
    <row r="675" spans="1:11" ht="12.75" customHeight="1">
      <c r="A675" s="483"/>
      <c r="B675" s="484"/>
      <c r="C675" s="487"/>
      <c r="D675" s="1286"/>
      <c r="E675" s="1286"/>
      <c r="F675" s="1286"/>
      <c r="I675" s="490"/>
    </row>
    <row r="676" spans="1:11" ht="12.75" customHeight="1">
      <c r="A676" s="483"/>
      <c r="B676" s="484"/>
      <c r="C676" s="487"/>
      <c r="D676" s="1286"/>
      <c r="E676" s="1286"/>
      <c r="F676" s="1286"/>
      <c r="I676" s="490"/>
    </row>
    <row r="677" spans="1:11" ht="12.75" customHeight="1">
      <c r="A677" s="483"/>
      <c r="B677" s="484"/>
      <c r="C677" s="487"/>
      <c r="D677" s="1286"/>
      <c r="E677" s="1286"/>
      <c r="F677" s="1286"/>
      <c r="I677" s="490"/>
    </row>
    <row r="678" spans="1:11">
      <c r="A678" s="487"/>
      <c r="B678" s="487"/>
      <c r="C678" s="487"/>
      <c r="D678" s="446"/>
      <c r="E678" s="446"/>
      <c r="F678" s="446"/>
      <c r="I678" s="490"/>
    </row>
    <row r="679" spans="1:11">
      <c r="A679" s="1289" t="s">
        <v>1060</v>
      </c>
      <c r="B679" s="1289"/>
      <c r="C679" s="1289"/>
      <c r="D679" s="1289"/>
      <c r="E679" s="1289"/>
      <c r="F679" s="1289"/>
      <c r="G679" s="1289"/>
      <c r="H679" s="1030"/>
      <c r="I679" s="1157"/>
      <c r="J679" s="501"/>
      <c r="K679" s="501"/>
    </row>
    <row r="680" spans="1:11">
      <c r="A680" s="448"/>
      <c r="B680" s="448"/>
      <c r="C680" s="448"/>
      <c r="D680" s="448"/>
      <c r="E680" s="448"/>
      <c r="F680" s="448"/>
      <c r="G680" s="448"/>
      <c r="H680" s="501"/>
      <c r="I680" s="483"/>
      <c r="J680" s="501"/>
      <c r="K680" s="501"/>
    </row>
    <row r="681" spans="1:11">
      <c r="C681" s="482"/>
      <c r="D681" s="1294" t="s">
        <v>99</v>
      </c>
      <c r="E681" s="1294"/>
      <c r="F681" s="1294"/>
      <c r="H681" s="501"/>
      <c r="I681" s="483"/>
      <c r="J681" s="501"/>
      <c r="K681" s="501"/>
    </row>
    <row r="682" spans="1:11">
      <c r="A682" s="482"/>
      <c r="B682" s="482"/>
      <c r="C682" s="482"/>
      <c r="D682" s="1294" t="s">
        <v>123</v>
      </c>
      <c r="E682" s="1294"/>
      <c r="F682" s="1294"/>
      <c r="H682" s="501"/>
      <c r="I682" s="483"/>
      <c r="J682" s="501"/>
      <c r="K682" s="501"/>
    </row>
    <row r="683" spans="1:11">
      <c r="A683" s="483"/>
      <c r="B683" s="483"/>
      <c r="C683" s="483"/>
      <c r="D683" s="1287" t="s">
        <v>1077</v>
      </c>
      <c r="E683" s="1287"/>
      <c r="F683" s="1287"/>
      <c r="H683" s="501"/>
      <c r="I683" s="483"/>
      <c r="J683" s="501"/>
      <c r="K683" s="501"/>
    </row>
    <row r="684" spans="1:11">
      <c r="A684" s="483"/>
      <c r="B684" s="483"/>
      <c r="C684" s="483"/>
      <c r="H684" s="501"/>
      <c r="I684" s="483"/>
      <c r="J684" s="501"/>
      <c r="K684" s="501"/>
    </row>
    <row r="685" spans="1:11">
      <c r="A685" s="484"/>
      <c r="B685" s="485" t="s">
        <v>2745</v>
      </c>
      <c r="C685" s="483"/>
      <c r="D685" s="1287" t="s">
        <v>886</v>
      </c>
      <c r="E685" s="1287"/>
      <c r="F685" s="1287"/>
      <c r="H685" s="501"/>
      <c r="I685" s="483"/>
      <c r="J685" s="501"/>
      <c r="K685" s="501"/>
    </row>
    <row r="686" spans="1:11">
      <c r="A686" s="483"/>
      <c r="B686" s="483"/>
      <c r="C686" s="483"/>
      <c r="D686" s="1287" t="s">
        <v>895</v>
      </c>
      <c r="E686" s="1287"/>
      <c r="F686" s="1287"/>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c r="A690" s="484"/>
      <c r="B690" s="485" t="s">
        <v>2745</v>
      </c>
      <c r="C690" s="483"/>
      <c r="D690" s="1286" t="s">
        <v>2069</v>
      </c>
      <c r="E690" s="1286"/>
      <c r="F690" s="1286"/>
      <c r="H690" s="501"/>
      <c r="I690" s="483"/>
      <c r="J690" s="501"/>
      <c r="K690" s="501"/>
    </row>
    <row r="691" spans="1:11">
      <c r="A691" s="490"/>
      <c r="B691" s="490"/>
      <c r="C691" s="483"/>
      <c r="D691" s="1286"/>
      <c r="E691" s="1286"/>
      <c r="F691" s="1286"/>
      <c r="H691" s="501"/>
      <c r="I691" s="483"/>
      <c r="J691" s="501"/>
      <c r="K691" s="501"/>
    </row>
    <row r="692" spans="1:11">
      <c r="A692" s="483"/>
      <c r="B692" s="483"/>
      <c r="C692" s="483"/>
      <c r="D692" s="1286"/>
      <c r="E692" s="1286"/>
      <c r="F692" s="1286"/>
      <c r="H692" s="501"/>
      <c r="I692" s="483"/>
      <c r="J692" s="501"/>
      <c r="K692" s="501"/>
    </row>
    <row r="693" spans="1:11">
      <c r="A693" s="483"/>
      <c r="B693" s="483"/>
      <c r="C693" s="483"/>
      <c r="H693" s="501"/>
      <c r="J693" s="501"/>
      <c r="K693" s="501"/>
    </row>
    <row r="694" spans="1:11">
      <c r="A694" s="484"/>
      <c r="B694" s="485" t="s">
        <v>2745</v>
      </c>
      <c r="C694" s="483"/>
      <c r="D694" s="1287" t="s">
        <v>918</v>
      </c>
      <c r="E694" s="1287"/>
      <c r="F694" s="1287"/>
      <c r="H694" s="501"/>
      <c r="I694" s="483"/>
      <c r="J694" s="501"/>
      <c r="K694" s="501"/>
    </row>
    <row r="695" spans="1:11">
      <c r="A695" s="484"/>
      <c r="B695" s="484"/>
      <c r="C695" s="483"/>
      <c r="D695" s="1287" t="s">
        <v>895</v>
      </c>
      <c r="E695" s="1287"/>
      <c r="F695" s="1287"/>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c r="A698" s="484"/>
      <c r="B698" s="485" t="s">
        <v>2746</v>
      </c>
      <c r="C698" s="483"/>
      <c r="D698" s="1287" t="s">
        <v>2471</v>
      </c>
      <c r="E698" s="1287"/>
      <c r="F698" s="1287"/>
      <c r="H698" s="501"/>
      <c r="I698" s="483"/>
      <c r="J698" s="501"/>
      <c r="K698" s="501"/>
    </row>
    <row r="699" spans="1:11">
      <c r="A699" s="484"/>
      <c r="B699" s="484"/>
      <c r="C699" s="483"/>
      <c r="D699" s="1287" t="s">
        <v>895</v>
      </c>
      <c r="E699" s="1287"/>
      <c r="F699" s="1287"/>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c r="A702" s="484"/>
      <c r="B702" s="485" t="s">
        <v>2746</v>
      </c>
      <c r="C702" s="483"/>
      <c r="D702" s="1286" t="s">
        <v>2246</v>
      </c>
      <c r="E702" s="1286"/>
      <c r="F702" s="1286"/>
      <c r="H702" s="501"/>
      <c r="I702" s="483"/>
      <c r="J702" s="501"/>
      <c r="K702" s="501"/>
    </row>
    <row r="703" spans="1:11">
      <c r="A703" s="483"/>
      <c r="B703" s="483"/>
      <c r="C703" s="483"/>
      <c r="D703" s="1286"/>
      <c r="E703" s="1286"/>
      <c r="F703" s="1286"/>
      <c r="H703" s="501"/>
      <c r="I703" s="483"/>
      <c r="J703" s="501"/>
      <c r="K703" s="501"/>
    </row>
    <row r="704" spans="1:11">
      <c r="A704" s="483"/>
      <c r="B704" s="483"/>
      <c r="C704" s="483"/>
      <c r="D704" s="1286"/>
      <c r="E704" s="1286"/>
      <c r="F704" s="1286"/>
      <c r="H704" s="501"/>
      <c r="I704" s="483"/>
      <c r="J704" s="501"/>
      <c r="K704" s="501"/>
    </row>
    <row r="705" spans="1:11">
      <c r="A705" s="483"/>
      <c r="B705" s="483"/>
      <c r="C705" s="483"/>
      <c r="D705" s="1286"/>
      <c r="E705" s="1286"/>
      <c r="F705" s="1286"/>
      <c r="H705" s="501"/>
      <c r="I705" s="483"/>
      <c r="J705" s="501"/>
      <c r="K705" s="501"/>
    </row>
    <row r="706" spans="1:11">
      <c r="A706" s="483"/>
      <c r="B706" s="483"/>
      <c r="C706" s="483"/>
      <c r="D706" s="1286"/>
      <c r="E706" s="1286"/>
      <c r="F706" s="1286"/>
      <c r="H706" s="501"/>
      <c r="I706" s="483"/>
      <c r="J706" s="501"/>
      <c r="K706" s="501"/>
    </row>
    <row r="707" spans="1:11">
      <c r="A707" s="483"/>
      <c r="B707" s="483"/>
      <c r="C707" s="483"/>
      <c r="D707" s="1286"/>
      <c r="E707" s="1286"/>
      <c r="F707" s="1286"/>
      <c r="H707" s="501"/>
      <c r="I707" s="483"/>
      <c r="J707" s="501"/>
      <c r="K707" s="501"/>
    </row>
    <row r="708" spans="1:11">
      <c r="A708" s="483"/>
      <c r="B708" s="483"/>
      <c r="C708" s="483"/>
      <c r="D708" s="445"/>
      <c r="E708" s="445"/>
      <c r="F708" s="445"/>
      <c r="H708" s="501"/>
      <c r="I708" s="483"/>
      <c r="J708" s="501"/>
      <c r="K708" s="501"/>
    </row>
    <row r="709" spans="1:11">
      <c r="A709" s="483"/>
      <c r="B709" s="485" t="s">
        <v>2746</v>
      </c>
      <c r="C709" s="483"/>
      <c r="D709" s="1286" t="s">
        <v>1202</v>
      </c>
      <c r="E709" s="1286"/>
      <c r="F709" s="1286"/>
      <c r="H709" s="501"/>
      <c r="I709" s="483"/>
      <c r="J709" s="501"/>
      <c r="K709" s="501"/>
    </row>
    <row r="710" spans="1:11">
      <c r="A710" s="483"/>
      <c r="B710" s="483"/>
      <c r="C710" s="483"/>
      <c r="D710" s="1286"/>
      <c r="E710" s="1286"/>
      <c r="F710" s="1286"/>
      <c r="H710" s="501"/>
      <c r="I710" s="483"/>
      <c r="J710" s="501"/>
      <c r="K710" s="501"/>
    </row>
    <row r="711" spans="1:11">
      <c r="A711" s="483"/>
      <c r="B711" s="483"/>
      <c r="C711" s="483"/>
      <c r="D711" s="445"/>
      <c r="E711" s="445"/>
      <c r="F711" s="445"/>
      <c r="H711" s="501"/>
      <c r="I711" s="483"/>
      <c r="J711" s="501"/>
      <c r="K711" s="501"/>
    </row>
    <row r="712" spans="1:11">
      <c r="A712" s="484"/>
      <c r="B712" s="485" t="s">
        <v>2746</v>
      </c>
      <c r="C712" s="483"/>
      <c r="D712" s="1286" t="s">
        <v>1078</v>
      </c>
      <c r="E712" s="1286"/>
      <c r="F712" s="1286"/>
      <c r="H712" s="501"/>
      <c r="I712" s="483"/>
      <c r="J712" s="501"/>
      <c r="K712" s="501"/>
    </row>
    <row r="713" spans="1:11">
      <c r="A713" s="483"/>
      <c r="B713" s="483"/>
      <c r="C713" s="483"/>
      <c r="D713" s="1286"/>
      <c r="E713" s="1286"/>
      <c r="F713" s="1286"/>
      <c r="H713" s="501"/>
      <c r="I713" s="483"/>
      <c r="J713" s="501"/>
      <c r="K713" s="501"/>
    </row>
    <row r="714" spans="1:11">
      <c r="A714" s="483"/>
      <c r="B714" s="483"/>
      <c r="C714" s="483"/>
      <c r="D714" s="1286"/>
      <c r="E714" s="1286"/>
      <c r="F714" s="1286"/>
      <c r="H714" s="501"/>
      <c r="I714" s="483"/>
      <c r="J714" s="501"/>
      <c r="K714" s="501"/>
    </row>
    <row r="715" spans="1:11" ht="15" customHeight="1">
      <c r="A715" s="483"/>
      <c r="B715" s="483"/>
      <c r="C715" s="483"/>
      <c r="D715" s="1286"/>
      <c r="E715" s="1286"/>
      <c r="F715" s="1286"/>
      <c r="H715" s="501"/>
      <c r="I715" s="483"/>
      <c r="J715" s="501"/>
      <c r="K715" s="501"/>
    </row>
    <row r="716" spans="1:11" ht="15" customHeight="1">
      <c r="A716" s="483"/>
      <c r="B716" s="483"/>
      <c r="C716" s="483"/>
      <c r="D716" s="1286"/>
      <c r="E716" s="1286"/>
      <c r="F716" s="1286"/>
      <c r="H716" s="501"/>
      <c r="I716" s="483"/>
      <c r="J716" s="501"/>
      <c r="K716" s="501"/>
    </row>
    <row r="717" spans="1:11">
      <c r="A717" s="483"/>
      <c r="B717" s="483"/>
      <c r="C717" s="483"/>
      <c r="D717" s="1286"/>
      <c r="E717" s="1286"/>
      <c r="F717" s="1286"/>
      <c r="H717" s="501"/>
      <c r="I717" s="483"/>
      <c r="J717" s="501"/>
      <c r="K717" s="501"/>
    </row>
    <row r="718" spans="1:11">
      <c r="A718" s="483"/>
      <c r="B718" s="483"/>
      <c r="C718" s="483"/>
      <c r="D718" s="1286"/>
      <c r="E718" s="1286"/>
      <c r="F718" s="1286"/>
      <c r="H718" s="501"/>
      <c r="I718" s="483"/>
      <c r="J718" s="501"/>
      <c r="K718" s="501"/>
    </row>
    <row r="719" spans="1:11">
      <c r="A719" s="483"/>
      <c r="B719" s="483"/>
      <c r="C719" s="483"/>
      <c r="D719" s="1286"/>
      <c r="E719" s="1286"/>
      <c r="F719" s="1286"/>
      <c r="H719" s="501"/>
      <c r="I719" s="483"/>
      <c r="J719" s="501"/>
      <c r="K719" s="501"/>
    </row>
    <row r="720" spans="1:11" ht="15" customHeight="1">
      <c r="A720" s="483"/>
      <c r="B720" s="483"/>
      <c r="C720" s="483"/>
      <c r="D720" s="1286"/>
      <c r="E720" s="1286"/>
      <c r="F720" s="1286"/>
      <c r="H720" s="501"/>
      <c r="I720" s="483"/>
      <c r="J720" s="501"/>
      <c r="K720" s="501"/>
    </row>
    <row r="721" spans="1:11">
      <c r="A721" s="483"/>
      <c r="B721" s="483"/>
      <c r="C721" s="483"/>
      <c r="D721" s="1286"/>
      <c r="E721" s="1286"/>
      <c r="F721" s="1286"/>
      <c r="H721" s="501"/>
      <c r="I721" s="483"/>
      <c r="J721" s="501"/>
      <c r="K721" s="501"/>
    </row>
    <row r="722" spans="1:11">
      <c r="A722" s="483"/>
      <c r="B722" s="483"/>
      <c r="C722" s="483"/>
      <c r="D722" s="1286"/>
      <c r="E722" s="1286"/>
      <c r="F722" s="1286"/>
      <c r="H722" s="501"/>
      <c r="I722" s="483"/>
      <c r="J722" s="501"/>
      <c r="K722" s="501"/>
    </row>
    <row r="723" spans="1:11">
      <c r="A723" s="483"/>
      <c r="B723" s="483"/>
      <c r="C723" s="483"/>
      <c r="D723" s="1286"/>
      <c r="E723" s="1286"/>
      <c r="F723" s="1286"/>
      <c r="H723" s="501"/>
      <c r="I723" s="483"/>
      <c r="J723" s="501"/>
      <c r="K723" s="501"/>
    </row>
    <row r="724" spans="1:11">
      <c r="A724" s="483"/>
      <c r="B724" s="483"/>
      <c r="C724" s="483"/>
      <c r="D724" s="1286"/>
      <c r="E724" s="1286"/>
      <c r="F724" s="1286"/>
      <c r="H724" s="501"/>
      <c r="I724" s="483"/>
      <c r="J724" s="501"/>
      <c r="K724" s="501"/>
    </row>
    <row r="725" spans="1:11">
      <c r="A725" s="483"/>
      <c r="B725" s="485" t="s">
        <v>2746</v>
      </c>
      <c r="C725" s="483"/>
      <c r="D725" s="1286" t="s">
        <v>2464</v>
      </c>
      <c r="E725" s="1286"/>
      <c r="F725" s="1286"/>
      <c r="H725" s="501"/>
      <c r="I725" s="483"/>
      <c r="J725" s="501"/>
      <c r="K725" s="501"/>
    </row>
    <row r="726" spans="1:11">
      <c r="A726" s="483"/>
      <c r="B726" s="483"/>
      <c r="C726" s="483"/>
      <c r="D726" s="1286"/>
      <c r="E726" s="1286"/>
      <c r="F726" s="1286"/>
      <c r="H726" s="501"/>
      <c r="I726" s="483"/>
      <c r="J726" s="501"/>
      <c r="K726" s="501"/>
    </row>
    <row r="727" spans="1:11">
      <c r="A727" s="483"/>
      <c r="B727" s="483"/>
      <c r="C727" s="483"/>
      <c r="D727" s="1286"/>
      <c r="E727" s="1286"/>
      <c r="F727" s="1286"/>
      <c r="H727" s="501"/>
      <c r="I727" s="483"/>
      <c r="J727" s="501"/>
      <c r="K727" s="501"/>
    </row>
    <row r="728" spans="1:11">
      <c r="A728" s="483"/>
      <c r="B728" s="483"/>
      <c r="C728" s="483"/>
      <c r="D728" s="445"/>
      <c r="E728" s="445"/>
      <c r="F728" s="445"/>
      <c r="H728" s="501"/>
      <c r="I728" s="483"/>
      <c r="J728" s="501"/>
      <c r="K728" s="501"/>
    </row>
    <row r="729" spans="1:11">
      <c r="A729" s="483"/>
      <c r="B729" s="485" t="s">
        <v>2746</v>
      </c>
      <c r="C729" s="483"/>
      <c r="D729" s="1286" t="s">
        <v>2463</v>
      </c>
      <c r="E729" s="1286"/>
      <c r="F729" s="1286"/>
      <c r="H729" s="501"/>
      <c r="I729" s="483"/>
      <c r="J729" s="501"/>
      <c r="K729" s="501"/>
    </row>
    <row r="730" spans="1:11">
      <c r="A730" s="483"/>
      <c r="B730" s="483"/>
      <c r="C730" s="483"/>
      <c r="D730" s="1286"/>
      <c r="E730" s="1286"/>
      <c r="F730" s="1286"/>
      <c r="H730" s="501"/>
      <c r="I730" s="483"/>
      <c r="J730" s="501"/>
      <c r="K730" s="501"/>
    </row>
    <row r="731" spans="1:11">
      <c r="A731" s="483"/>
      <c r="B731" s="483"/>
      <c r="C731" s="483"/>
      <c r="D731" s="1286"/>
      <c r="E731" s="1286"/>
      <c r="F731" s="1286"/>
      <c r="H731" s="501"/>
      <c r="I731" s="483"/>
      <c r="J731" s="501"/>
      <c r="K731" s="501"/>
    </row>
    <row r="732" spans="1:11">
      <c r="A732" s="483"/>
      <c r="B732" s="483"/>
      <c r="C732" s="483"/>
      <c r="H732" s="501"/>
      <c r="I732" s="483"/>
      <c r="J732" s="501"/>
      <c r="K732" s="501"/>
    </row>
    <row r="733" spans="1:11">
      <c r="A733" s="483"/>
      <c r="B733" s="485" t="s">
        <v>2746</v>
      </c>
      <c r="C733" s="483"/>
      <c r="D733" s="1286" t="s">
        <v>2462</v>
      </c>
      <c r="E733" s="1286"/>
      <c r="F733" s="1286"/>
      <c r="H733" s="501"/>
      <c r="I733" s="483"/>
      <c r="J733" s="501"/>
      <c r="K733" s="501"/>
    </row>
    <row r="734" spans="1:11">
      <c r="A734" s="483"/>
      <c r="B734" s="483"/>
      <c r="C734" s="483"/>
      <c r="D734" s="1286"/>
      <c r="E734" s="1286"/>
      <c r="F734" s="1286"/>
      <c r="H734" s="501"/>
      <c r="I734" s="483"/>
      <c r="J734" s="501"/>
      <c r="K734" s="501"/>
    </row>
    <row r="735" spans="1:11">
      <c r="A735" s="483"/>
      <c r="B735" s="483"/>
      <c r="C735" s="483"/>
      <c r="D735" s="1286"/>
      <c r="E735" s="1286"/>
      <c r="F735" s="1286"/>
      <c r="H735" s="501"/>
      <c r="I735" s="483"/>
      <c r="J735" s="501"/>
      <c r="K735" s="501"/>
    </row>
    <row r="736" spans="1:11">
      <c r="A736" s="483"/>
      <c r="B736" s="483"/>
      <c r="C736" s="483"/>
      <c r="D736" s="1286"/>
      <c r="E736" s="1286"/>
      <c r="F736" s="1286"/>
      <c r="H736" s="501"/>
      <c r="I736" s="483"/>
      <c r="J736" s="501"/>
      <c r="K736" s="501"/>
    </row>
    <row r="737" spans="1:11">
      <c r="A737" s="483"/>
      <c r="B737" s="483"/>
      <c r="C737" s="483"/>
      <c r="H737" s="501"/>
      <c r="I737" s="483"/>
      <c r="J737" s="501"/>
      <c r="K737" s="501"/>
    </row>
    <row r="738" spans="1:11">
      <c r="A738" s="484"/>
      <c r="B738" s="485" t="s">
        <v>2746</v>
      </c>
      <c r="C738" s="483"/>
      <c r="D738" s="1286" t="s">
        <v>1079</v>
      </c>
      <c r="E738" s="1286"/>
      <c r="F738" s="1286"/>
      <c r="H738" s="501"/>
      <c r="I738" s="483"/>
      <c r="J738" s="501"/>
      <c r="K738" s="501"/>
    </row>
    <row r="739" spans="1:11">
      <c r="A739" s="483"/>
      <c r="B739" s="483"/>
      <c r="C739" s="483"/>
      <c r="D739" s="1286"/>
      <c r="E739" s="1286"/>
      <c r="F739" s="1286"/>
      <c r="H739" s="501"/>
      <c r="I739" s="483"/>
      <c r="J739" s="501"/>
      <c r="K739" s="501"/>
    </row>
    <row r="740" spans="1:11">
      <c r="A740" s="483"/>
      <c r="B740" s="483"/>
      <c r="C740" s="483"/>
      <c r="D740" s="1286"/>
      <c r="E740" s="1286"/>
      <c r="F740" s="1286"/>
      <c r="H740" s="501"/>
      <c r="I740" s="483"/>
      <c r="J740" s="501"/>
      <c r="K740" s="501"/>
    </row>
    <row r="741" spans="1:11">
      <c r="A741" s="483"/>
      <c r="B741" s="483"/>
      <c r="C741" s="483"/>
      <c r="D741" s="1286"/>
      <c r="E741" s="1286"/>
      <c r="F741" s="1286"/>
      <c r="H741" s="501"/>
      <c r="I741" s="483"/>
      <c r="J741" s="501"/>
      <c r="K741" s="501"/>
    </row>
    <row r="742" spans="1:11">
      <c r="A742" s="483"/>
      <c r="B742" s="483"/>
      <c r="C742" s="483"/>
      <c r="D742" s="1286"/>
      <c r="E742" s="1286"/>
      <c r="F742" s="1286"/>
      <c r="H742" s="501"/>
      <c r="I742" s="483"/>
      <c r="J742" s="501"/>
      <c r="K742" s="501"/>
    </row>
    <row r="743" spans="1:11">
      <c r="A743" s="483"/>
      <c r="B743" s="483"/>
      <c r="C743" s="483"/>
      <c r="D743" s="492"/>
      <c r="H743" s="501"/>
      <c r="I743" s="483"/>
      <c r="J743" s="501"/>
      <c r="K743" s="501"/>
    </row>
    <row r="744" spans="1:11">
      <c r="A744" s="484"/>
      <c r="B744" s="485" t="s">
        <v>2745</v>
      </c>
      <c r="C744" s="483"/>
      <c r="D744" s="1286" t="s">
        <v>2147</v>
      </c>
      <c r="E744" s="1286"/>
      <c r="F744" s="1286"/>
      <c r="H744" s="501"/>
      <c r="I744" s="483"/>
      <c r="J744" s="501"/>
      <c r="K744" s="501"/>
    </row>
    <row r="745" spans="1:11">
      <c r="A745" s="483"/>
      <c r="B745" s="483"/>
      <c r="C745" s="483"/>
      <c r="D745" s="1286"/>
      <c r="E745" s="1286"/>
      <c r="F745" s="1286"/>
      <c r="H745" s="501"/>
      <c r="I745" s="483"/>
      <c r="J745" s="501"/>
      <c r="K745" s="501"/>
    </row>
    <row r="746" spans="1:11">
      <c r="A746" s="483"/>
      <c r="B746" s="483"/>
      <c r="C746" s="483"/>
      <c r="D746" s="1286"/>
      <c r="E746" s="1286"/>
      <c r="F746" s="1286"/>
      <c r="H746" s="501"/>
      <c r="I746" s="483"/>
      <c r="J746" s="501"/>
      <c r="K746" s="501"/>
    </row>
    <row r="747" spans="1:11">
      <c r="A747" s="483"/>
      <c r="B747" s="483"/>
      <c r="C747" s="483"/>
      <c r="D747" s="1286"/>
      <c r="E747" s="1286"/>
      <c r="F747" s="1286"/>
      <c r="H747" s="501"/>
      <c r="I747" s="483"/>
      <c r="J747" s="501"/>
      <c r="K747" s="501"/>
    </row>
    <row r="748" spans="1:11">
      <c r="A748" s="483"/>
      <c r="B748" s="483"/>
      <c r="C748" s="483"/>
      <c r="D748" s="1286"/>
      <c r="E748" s="1286"/>
      <c r="F748" s="1286"/>
      <c r="H748" s="501"/>
      <c r="I748" s="483"/>
      <c r="J748" s="501"/>
      <c r="K748" s="501"/>
    </row>
    <row r="749" spans="1:11">
      <c r="A749" s="483"/>
      <c r="B749" s="483"/>
      <c r="C749" s="483"/>
      <c r="D749" s="1286"/>
      <c r="E749" s="1286"/>
      <c r="F749" s="1286"/>
      <c r="H749" s="501"/>
      <c r="I749" s="483"/>
      <c r="J749" s="501"/>
      <c r="K749" s="501"/>
    </row>
    <row r="750" spans="1:11">
      <c r="A750" s="483"/>
      <c r="B750" s="483"/>
      <c r="C750" s="483"/>
      <c r="D750" s="1286"/>
      <c r="E750" s="1286"/>
      <c r="F750" s="1286"/>
      <c r="H750" s="501"/>
      <c r="I750" s="483"/>
      <c r="J750" s="501"/>
      <c r="K750" s="501"/>
    </row>
    <row r="751" spans="1:11">
      <c r="A751" s="483"/>
      <c r="B751" s="483"/>
      <c r="C751" s="483"/>
      <c r="D751" s="1324" t="s">
        <v>2076</v>
      </c>
      <c r="E751" s="1324"/>
      <c r="F751" s="1324"/>
      <c r="H751" s="501"/>
      <c r="I751" s="483"/>
      <c r="J751" s="501"/>
      <c r="K751" s="501"/>
    </row>
    <row r="752" spans="1:11">
      <c r="A752" s="483"/>
      <c r="B752" s="483"/>
      <c r="C752" s="483"/>
      <c r="D752" s="341"/>
      <c r="H752" s="501"/>
      <c r="I752" s="483"/>
      <c r="J752" s="501"/>
      <c r="K752" s="501"/>
    </row>
    <row r="753" spans="1:11">
      <c r="A753" s="1293" t="s">
        <v>1061</v>
      </c>
      <c r="B753" s="1293"/>
      <c r="C753" s="1293"/>
      <c r="D753" s="1293"/>
      <c r="E753" s="1293"/>
      <c r="F753" s="1293"/>
      <c r="G753" s="1293"/>
      <c r="H753" s="1030"/>
      <c r="I753" s="1157"/>
      <c r="J753" s="501"/>
      <c r="K753" s="501"/>
    </row>
    <row r="754" spans="1:11">
      <c r="A754" s="483"/>
      <c r="B754" s="483"/>
      <c r="C754" s="483"/>
      <c r="D754" s="492"/>
      <c r="G754" s="501"/>
      <c r="H754" s="501"/>
      <c r="I754" s="483"/>
      <c r="J754" s="501"/>
      <c r="K754" s="501"/>
    </row>
    <row r="755" spans="1:11" ht="13.75" customHeight="1">
      <c r="C755" s="483"/>
      <c r="D755" s="1288" t="s">
        <v>1071</v>
      </c>
      <c r="E755" s="1288"/>
      <c r="F755" s="1288"/>
      <c r="G755" s="501"/>
      <c r="H755" s="501"/>
      <c r="I755" s="483"/>
      <c r="J755" s="501"/>
      <c r="K755" s="501"/>
    </row>
    <row r="756" spans="1:11">
      <c r="A756" s="483"/>
      <c r="B756" s="483"/>
      <c r="C756" s="483"/>
      <c r="D756" s="1292" t="s">
        <v>1072</v>
      </c>
      <c r="E756" s="1292"/>
      <c r="F756" s="1292"/>
      <c r="G756" s="501"/>
      <c r="H756" s="501"/>
      <c r="I756" s="483"/>
      <c r="J756" s="501"/>
      <c r="K756" s="501"/>
    </row>
    <row r="757" spans="1:11">
      <c r="A757" s="483"/>
      <c r="B757" s="483"/>
      <c r="C757" s="483"/>
      <c r="G757" s="501"/>
      <c r="H757" s="501"/>
      <c r="I757" s="483"/>
      <c r="J757" s="501"/>
      <c r="K757" s="501"/>
    </row>
    <row r="758" spans="1:11">
      <c r="A758" s="484"/>
      <c r="B758" s="485" t="s">
        <v>2745</v>
      </c>
      <c r="D758" s="1286" t="s">
        <v>1073</v>
      </c>
      <c r="E758" s="1286"/>
      <c r="F758" s="1286"/>
      <c r="G758" s="501"/>
      <c r="H758" s="501"/>
      <c r="I758" s="483"/>
      <c r="J758" s="501"/>
      <c r="K758" s="501"/>
    </row>
    <row r="759" spans="1:11" ht="10.5" customHeight="1">
      <c r="D759" s="1286"/>
      <c r="E759" s="1286"/>
      <c r="F759" s="1286"/>
      <c r="G759" s="501"/>
      <c r="H759" s="501"/>
      <c r="I759" s="483"/>
      <c r="J759" s="501"/>
      <c r="K759" s="501"/>
    </row>
    <row r="760" spans="1:11">
      <c r="D760" s="1286"/>
      <c r="E760" s="1286"/>
      <c r="F760" s="1286"/>
      <c r="G760" s="501"/>
      <c r="H760" s="501"/>
      <c r="I760" s="483"/>
      <c r="J760" s="501"/>
      <c r="K760" s="501"/>
    </row>
    <row r="761" spans="1:11">
      <c r="D761" s="1286"/>
      <c r="E761" s="1286"/>
      <c r="F761" s="1286"/>
      <c r="G761" s="501"/>
      <c r="H761" s="501"/>
      <c r="I761" s="483"/>
      <c r="J761" s="501"/>
      <c r="K761" s="501"/>
    </row>
    <row r="762" spans="1:11">
      <c r="D762" s="1286"/>
      <c r="E762" s="1286"/>
      <c r="F762" s="1286"/>
      <c r="G762" s="501"/>
      <c r="H762" s="501"/>
      <c r="I762" s="483"/>
      <c r="J762" s="501"/>
      <c r="K762" s="501"/>
    </row>
    <row r="763" spans="1:11" ht="15.65" customHeight="1">
      <c r="D763" s="1286"/>
      <c r="E763" s="1286"/>
      <c r="F763" s="1286"/>
      <c r="G763" s="501"/>
      <c r="H763" s="501"/>
      <c r="I763" s="483"/>
      <c r="J763" s="501"/>
      <c r="K763" s="501"/>
    </row>
    <row r="764" spans="1:11">
      <c r="D764" s="499"/>
      <c r="E764" s="446"/>
      <c r="F764" s="446"/>
      <c r="G764" s="501"/>
      <c r="H764" s="501"/>
      <c r="I764" s="483"/>
      <c r="J764" s="501"/>
      <c r="K764" s="501"/>
    </row>
    <row r="765" spans="1:11" s="505" customFormat="1">
      <c r="A765" s="503"/>
      <c r="B765" s="485" t="s">
        <v>2745</v>
      </c>
      <c r="C765" s="504"/>
      <c r="D765" s="1286" t="s">
        <v>1242</v>
      </c>
      <c r="E765" s="1286"/>
      <c r="F765" s="1286"/>
      <c r="I765" s="1158"/>
    </row>
    <row r="766" spans="1:11" s="505" customFormat="1">
      <c r="A766" s="504"/>
      <c r="B766" s="504"/>
      <c r="C766" s="504"/>
      <c r="D766" s="1286"/>
      <c r="E766" s="1286"/>
      <c r="F766" s="1286"/>
      <c r="I766" s="1158"/>
    </row>
    <row r="767" spans="1:11" s="505" customFormat="1">
      <c r="A767" s="504"/>
      <c r="B767" s="504"/>
      <c r="C767" s="504"/>
      <c r="D767" s="1286"/>
      <c r="E767" s="1286"/>
      <c r="F767" s="1286"/>
      <c r="I767" s="1158"/>
    </row>
    <row r="768" spans="1:11" s="505" customFormat="1">
      <c r="A768" s="504"/>
      <c r="B768" s="504"/>
      <c r="C768" s="504"/>
      <c r="D768" s="1286"/>
      <c r="E768" s="1286"/>
      <c r="F768" s="1286"/>
      <c r="I768" s="1158"/>
    </row>
    <row r="769" spans="1:11" s="505" customFormat="1">
      <c r="A769" s="504"/>
      <c r="B769" s="504"/>
      <c r="C769" s="504"/>
      <c r="D769" s="499"/>
      <c r="I769" s="1158"/>
    </row>
    <row r="770" spans="1:11" s="505" customFormat="1">
      <c r="A770" s="484"/>
      <c r="B770" s="485" t="s">
        <v>2746</v>
      </c>
      <c r="C770" s="504"/>
      <c r="D770" s="1311" t="s">
        <v>1243</v>
      </c>
      <c r="E770" s="1311"/>
      <c r="F770" s="1311"/>
      <c r="I770" s="1158"/>
    </row>
    <row r="771" spans="1:11" s="505" customFormat="1">
      <c r="A771" s="504"/>
      <c r="B771" s="504"/>
      <c r="C771" s="504"/>
      <c r="D771" s="1311"/>
      <c r="E771" s="1311"/>
      <c r="F771" s="1311"/>
      <c r="I771" s="1158"/>
    </row>
    <row r="772" spans="1:11" s="505" customFormat="1">
      <c r="A772" s="504"/>
      <c r="B772" s="504"/>
      <c r="C772" s="504"/>
      <c r="D772" s="1311"/>
      <c r="E772" s="1311"/>
      <c r="F772" s="1311"/>
      <c r="I772" s="1158"/>
    </row>
    <row r="773" spans="1:11">
      <c r="D773" s="499"/>
      <c r="E773" s="446"/>
      <c r="F773" s="446"/>
      <c r="G773" s="501"/>
      <c r="H773" s="501"/>
      <c r="I773" s="483"/>
      <c r="J773" s="501"/>
      <c r="K773" s="501"/>
    </row>
    <row r="774" spans="1:11">
      <c r="A774" s="484"/>
      <c r="B774" s="485" t="s">
        <v>2746</v>
      </c>
      <c r="D774" s="1286" t="s">
        <v>1199</v>
      </c>
      <c r="E774" s="1286"/>
      <c r="F774" s="1286"/>
      <c r="G774" s="501"/>
      <c r="H774" s="501"/>
      <c r="I774" s="483"/>
      <c r="J774" s="501"/>
      <c r="K774" s="501"/>
    </row>
    <row r="775" spans="1:11">
      <c r="D775" s="1286"/>
      <c r="E775" s="1286"/>
      <c r="F775" s="1286"/>
      <c r="G775" s="501"/>
      <c r="H775" s="501"/>
      <c r="I775" s="483"/>
      <c r="J775" s="501"/>
      <c r="K775" s="501"/>
    </row>
    <row r="776" spans="1:11">
      <c r="D776" s="445"/>
      <c r="E776" s="445"/>
      <c r="F776" s="445"/>
      <c r="G776" s="501"/>
      <c r="H776" s="501"/>
      <c r="I776" s="483"/>
      <c r="J776" s="501"/>
      <c r="K776" s="501"/>
    </row>
    <row r="777" spans="1:11">
      <c r="B777" s="485" t="s">
        <v>2746</v>
      </c>
      <c r="D777" s="1286" t="s">
        <v>1216</v>
      </c>
      <c r="E777" s="1286"/>
      <c r="F777" s="1286"/>
      <c r="G777" s="501"/>
      <c r="H777" s="501"/>
      <c r="I777" s="483"/>
      <c r="J777" s="501"/>
      <c r="K777" s="501"/>
    </row>
    <row r="778" spans="1:11">
      <c r="D778" s="1286"/>
      <c r="E778" s="1286"/>
      <c r="F778" s="1286"/>
      <c r="G778" s="501"/>
      <c r="H778" s="501"/>
      <c r="I778" s="483"/>
      <c r="J778" s="501"/>
      <c r="K778" s="501"/>
    </row>
    <row r="779" spans="1:11">
      <c r="D779" s="1286"/>
      <c r="E779" s="1286"/>
      <c r="F779" s="1286"/>
      <c r="G779" s="501"/>
      <c r="H779" s="501"/>
      <c r="I779" s="483"/>
      <c r="J779" s="501"/>
      <c r="K779" s="501"/>
    </row>
    <row r="780" spans="1:11">
      <c r="D780" s="445"/>
      <c r="E780" s="445"/>
      <c r="F780" s="445"/>
      <c r="G780" s="501"/>
      <c r="H780" s="501"/>
      <c r="I780" s="483"/>
      <c r="J780" s="501"/>
      <c r="K780" s="501"/>
    </row>
    <row r="781" spans="1:11">
      <c r="A781" s="1318" t="s">
        <v>1802</v>
      </c>
      <c r="B781" s="1318"/>
      <c r="C781" s="1318"/>
      <c r="D781" s="1318"/>
      <c r="E781" s="1318"/>
      <c r="F781" s="1318"/>
      <c r="G781" s="1318"/>
      <c r="H781" s="1028"/>
      <c r="I781" s="1153"/>
    </row>
    <row r="782" spans="1:11">
      <c r="A782" s="57"/>
      <c r="B782" s="57"/>
      <c r="C782" s="354"/>
      <c r="D782" s="3"/>
      <c r="E782" s="3"/>
      <c r="F782" s="3"/>
      <c r="G782" s="3"/>
      <c r="I782" s="490"/>
    </row>
    <row r="783" spans="1:11">
      <c r="A783" s="57"/>
      <c r="B783" s="57"/>
      <c r="C783" s="354"/>
      <c r="D783" s="1317" t="s">
        <v>1856</v>
      </c>
      <c r="E783" s="1317"/>
      <c r="F783" s="1317"/>
      <c r="G783" s="3"/>
      <c r="I783" s="490"/>
    </row>
    <row r="784" spans="1:11">
      <c r="A784" s="57"/>
      <c r="B784" s="57"/>
      <c r="C784" s="354"/>
      <c r="D784" s="1298" t="s">
        <v>1756</v>
      </c>
      <c r="E784" s="1298"/>
      <c r="F784" s="1298"/>
      <c r="G784" s="3"/>
      <c r="I784" s="490"/>
    </row>
    <row r="785" spans="1:9">
      <c r="A785" s="57"/>
      <c r="B785" s="57"/>
      <c r="C785" s="354"/>
      <c r="D785" s="447"/>
      <c r="E785" s="447"/>
      <c r="F785" s="447"/>
      <c r="G785" s="3"/>
      <c r="I785" s="490"/>
    </row>
    <row r="786" spans="1:9">
      <c r="A786" s="57"/>
      <c r="B786" s="485" t="s">
        <v>2745</v>
      </c>
      <c r="C786" s="354"/>
      <c r="D786" s="1319" t="s">
        <v>1757</v>
      </c>
      <c r="E786" s="1319"/>
      <c r="F786" s="1319"/>
      <c r="G786" s="3"/>
      <c r="I786" s="483"/>
    </row>
    <row r="787" spans="1:9">
      <c r="A787" s="57"/>
      <c r="B787" s="57"/>
      <c r="C787" s="354"/>
      <c r="D787" s="1319"/>
      <c r="E787" s="1319"/>
      <c r="F787" s="1319"/>
      <c r="G787" s="3"/>
      <c r="I787" s="490"/>
    </row>
    <row r="788" spans="1:9">
      <c r="A788" s="174"/>
      <c r="B788" s="174"/>
      <c r="C788" s="174"/>
      <c r="D788" s="1319"/>
      <c r="E788" s="1319"/>
      <c r="F788" s="1319"/>
      <c r="G788" s="118"/>
      <c r="I788" s="490"/>
    </row>
    <row r="789" spans="1:9">
      <c r="A789" s="354"/>
      <c r="B789" s="354"/>
      <c r="C789" s="354"/>
      <c r="D789" s="173"/>
      <c r="E789" s="3"/>
      <c r="F789" s="3"/>
      <c r="G789" s="3"/>
      <c r="I789" s="490"/>
    </row>
    <row r="790" spans="1:9">
      <c r="A790" s="172"/>
      <c r="B790" s="485" t="s">
        <v>2746</v>
      </c>
      <c r="C790" s="172"/>
      <c r="D790" s="1319" t="s">
        <v>1758</v>
      </c>
      <c r="E790" s="1319"/>
      <c r="F790" s="1319"/>
      <c r="G790" s="3"/>
      <c r="I790" s="483"/>
    </row>
    <row r="791" spans="1:9">
      <c r="A791" s="172"/>
      <c r="B791" s="172"/>
      <c r="C791" s="172"/>
      <c r="D791" s="1319"/>
      <c r="E791" s="1319"/>
      <c r="F791" s="1319"/>
      <c r="G791" s="3"/>
      <c r="I791" s="490"/>
    </row>
    <row r="792" spans="1:9">
      <c r="A792" s="172"/>
      <c r="B792" s="172"/>
      <c r="C792" s="172"/>
      <c r="D792" s="1319"/>
      <c r="E792" s="1319"/>
      <c r="F792" s="1319"/>
      <c r="G792" s="3"/>
      <c r="I792" s="490"/>
    </row>
    <row r="793" spans="1:9">
      <c r="A793" s="174"/>
      <c r="B793" s="174"/>
      <c r="C793" s="174"/>
      <c r="D793" s="3"/>
      <c r="E793" s="988"/>
      <c r="F793" s="988"/>
      <c r="G793" s="988"/>
      <c r="I793" s="490"/>
    </row>
    <row r="794" spans="1:9">
      <c r="A794" s="175"/>
      <c r="B794" s="485" t="s">
        <v>2746</v>
      </c>
      <c r="C794" s="989"/>
      <c r="D794" s="1319" t="s">
        <v>1759</v>
      </c>
      <c r="E794" s="1319"/>
      <c r="F794" s="1319"/>
      <c r="G794" s="988"/>
      <c r="I794" s="483"/>
    </row>
    <row r="795" spans="1:9">
      <c r="A795" s="175"/>
      <c r="B795" s="175"/>
      <c r="C795" s="989"/>
      <c r="D795" s="1319"/>
      <c r="E795" s="1319"/>
      <c r="F795" s="1319"/>
      <c r="G795" s="988"/>
      <c r="I795" s="490"/>
    </row>
    <row r="796" spans="1:9">
      <c r="A796" s="175"/>
      <c r="B796" s="175"/>
      <c r="C796" s="989"/>
      <c r="D796" s="1319"/>
      <c r="E796" s="1319"/>
      <c r="F796" s="1319"/>
      <c r="G796" s="988"/>
      <c r="I796" s="490"/>
    </row>
    <row r="797" spans="1:9">
      <c r="A797" s="175"/>
      <c r="B797" s="175"/>
      <c r="C797" s="989"/>
      <c r="D797" s="118"/>
      <c r="E797" s="3"/>
      <c r="F797" s="3"/>
      <c r="G797" s="988"/>
      <c r="I797" s="490"/>
    </row>
    <row r="798" spans="1:9">
      <c r="A798" s="175"/>
      <c r="B798" s="485" t="s">
        <v>2746</v>
      </c>
      <c r="C798" s="989"/>
      <c r="D798" s="1319" t="s">
        <v>1760</v>
      </c>
      <c r="E798" s="1319"/>
      <c r="F798" s="1319"/>
      <c r="G798" s="988"/>
      <c r="I798" s="483"/>
    </row>
    <row r="799" spans="1:9">
      <c r="A799" s="175"/>
      <c r="B799" s="175"/>
      <c r="C799" s="989"/>
      <c r="D799" s="1319"/>
      <c r="E799" s="1319"/>
      <c r="F799" s="1319"/>
      <c r="G799" s="988"/>
      <c r="I799" s="490"/>
    </row>
    <row r="800" spans="1:9">
      <c r="A800" s="175"/>
      <c r="B800" s="175"/>
      <c r="C800" s="989"/>
      <c r="D800" s="1319"/>
      <c r="E800" s="1319"/>
      <c r="F800" s="1319"/>
      <c r="G800" s="988"/>
      <c r="I800" s="490"/>
    </row>
    <row r="801" spans="1:9">
      <c r="A801" s="175"/>
      <c r="B801" s="175"/>
      <c r="C801" s="989"/>
      <c r="D801" s="1319"/>
      <c r="E801" s="1319"/>
      <c r="F801" s="1319"/>
      <c r="G801" s="988"/>
      <c r="I801" s="490"/>
    </row>
    <row r="802" spans="1:9">
      <c r="A802" s="175"/>
      <c r="B802" s="175"/>
      <c r="C802" s="989"/>
      <c r="D802" s="1319"/>
      <c r="E802" s="1319"/>
      <c r="F802" s="1319"/>
      <c r="G802" s="988"/>
      <c r="I802" s="490"/>
    </row>
    <row r="803" spans="1:9">
      <c r="A803" s="175"/>
      <c r="B803" s="175"/>
      <c r="C803" s="989"/>
      <c r="D803" s="1319"/>
      <c r="E803" s="1319"/>
      <c r="F803" s="1319"/>
      <c r="G803" s="988"/>
      <c r="I803" s="490"/>
    </row>
    <row r="804" spans="1:9">
      <c r="A804" s="175"/>
      <c r="B804" s="175"/>
      <c r="C804" s="989"/>
      <c r="D804" s="1319" t="s">
        <v>1803</v>
      </c>
      <c r="E804" s="1319"/>
      <c r="F804" s="1319"/>
      <c r="G804" s="988"/>
      <c r="I804" s="490"/>
    </row>
    <row r="805" spans="1:9">
      <c r="A805" s="175"/>
      <c r="B805" s="175"/>
      <c r="C805" s="989"/>
      <c r="D805" s="1319"/>
      <c r="E805" s="1319"/>
      <c r="F805" s="1319"/>
      <c r="G805" s="988"/>
      <c r="I805" s="490"/>
    </row>
    <row r="806" spans="1:9">
      <c r="A806" s="175"/>
      <c r="B806" s="175"/>
      <c r="C806" s="989"/>
      <c r="D806" s="1319"/>
      <c r="E806" s="1319"/>
      <c r="F806" s="1319"/>
      <c r="G806" s="988"/>
      <c r="I806" s="490"/>
    </row>
    <row r="807" spans="1:9">
      <c r="A807" s="175"/>
      <c r="B807" s="354"/>
      <c r="C807" s="989"/>
      <c r="D807" s="990"/>
      <c r="E807" s="990"/>
      <c r="F807" s="990"/>
      <c r="G807" s="988"/>
      <c r="I807" s="490"/>
    </row>
    <row r="808" spans="1:9">
      <c r="A808" s="175"/>
      <c r="B808" s="485" t="s">
        <v>2746</v>
      </c>
      <c r="C808" s="989"/>
      <c r="D808" s="1319" t="s">
        <v>1761</v>
      </c>
      <c r="E808" s="1319"/>
      <c r="F808" s="1319"/>
      <c r="G808" s="988"/>
      <c r="I808" s="483"/>
    </row>
    <row r="809" spans="1:9">
      <c r="A809" s="175"/>
      <c r="B809" s="175"/>
      <c r="C809" s="989"/>
      <c r="D809" s="1319"/>
      <c r="E809" s="1319"/>
      <c r="F809" s="1319"/>
      <c r="G809" s="988"/>
      <c r="I809" s="490"/>
    </row>
    <row r="810" spans="1:9">
      <c r="A810" s="175"/>
      <c r="B810" s="175"/>
      <c r="C810" s="989"/>
      <c r="D810" s="1319"/>
      <c r="E810" s="1319"/>
      <c r="F810" s="1319"/>
      <c r="G810" s="988"/>
      <c r="I810" s="490"/>
    </row>
    <row r="811" spans="1:9">
      <c r="A811" s="175"/>
      <c r="B811" s="175"/>
      <c r="C811" s="989"/>
      <c r="D811" s="1319"/>
      <c r="E811" s="1319"/>
      <c r="F811" s="1319"/>
      <c r="G811" s="988"/>
      <c r="I811" s="490"/>
    </row>
    <row r="812" spans="1:9">
      <c r="A812" s="175"/>
      <c r="B812" s="175"/>
      <c r="C812" s="989"/>
      <c r="D812" s="1319"/>
      <c r="E812" s="1319"/>
      <c r="F812" s="1319"/>
      <c r="G812" s="988"/>
      <c r="I812" s="490"/>
    </row>
    <row r="813" spans="1:9">
      <c r="A813" s="175"/>
      <c r="B813" s="175"/>
      <c r="C813" s="989"/>
      <c r="D813" s="1319"/>
      <c r="E813" s="1319"/>
      <c r="F813" s="1319"/>
      <c r="G813" s="988"/>
      <c r="I813" s="490"/>
    </row>
    <row r="814" spans="1:9">
      <c r="A814" s="175"/>
      <c r="B814" s="175"/>
      <c r="C814" s="989"/>
      <c r="D814" s="982"/>
      <c r="E814" s="982"/>
      <c r="F814" s="982"/>
      <c r="G814" s="988"/>
      <c r="I814" s="490"/>
    </row>
    <row r="815" spans="1:9">
      <c r="A815" s="175"/>
      <c r="B815" s="485" t="s">
        <v>2746</v>
      </c>
      <c r="C815" s="989"/>
      <c r="D815" s="1319" t="s">
        <v>1762</v>
      </c>
      <c r="E815" s="1319"/>
      <c r="F815" s="1319"/>
      <c r="G815" s="988"/>
      <c r="I815" s="483"/>
    </row>
    <row r="816" spans="1:9">
      <c r="A816" s="175"/>
      <c r="B816" s="175"/>
      <c r="C816" s="989"/>
      <c r="D816" s="1319"/>
      <c r="E816" s="1319"/>
      <c r="F816" s="1319"/>
      <c r="G816" s="988"/>
      <c r="I816" s="490"/>
    </row>
    <row r="817" spans="1:9">
      <c r="A817" s="175"/>
      <c r="B817" s="175"/>
      <c r="C817" s="989"/>
      <c r="D817" s="1319"/>
      <c r="E817" s="1319"/>
      <c r="F817" s="1319"/>
      <c r="G817" s="988"/>
      <c r="I817" s="490"/>
    </row>
    <row r="818" spans="1:9">
      <c r="A818" s="175"/>
      <c r="B818" s="175"/>
      <c r="C818" s="989"/>
      <c r="D818" s="1319"/>
      <c r="E818" s="1319"/>
      <c r="F818" s="1319"/>
      <c r="G818" s="988"/>
      <c r="I818" s="490"/>
    </row>
    <row r="819" spans="1:9">
      <c r="A819" s="175"/>
      <c r="B819" s="175"/>
      <c r="C819" s="989"/>
      <c r="D819" s="1319"/>
      <c r="E819" s="1319"/>
      <c r="F819" s="1319"/>
      <c r="G819" s="988"/>
      <c r="I819" s="490"/>
    </row>
    <row r="820" spans="1:9">
      <c r="A820" s="175"/>
      <c r="B820" s="175"/>
      <c r="C820" s="989"/>
      <c r="D820" s="1319"/>
      <c r="E820" s="1319"/>
      <c r="F820" s="1319"/>
      <c r="G820" s="988"/>
      <c r="I820" s="490"/>
    </row>
    <row r="821" spans="1:9">
      <c r="A821" s="175"/>
      <c r="B821" s="175"/>
      <c r="C821" s="989"/>
      <c r="D821" s="982"/>
      <c r="E821" s="982"/>
      <c r="F821" s="982"/>
      <c r="G821" s="988"/>
      <c r="I821" s="490"/>
    </row>
    <row r="822" spans="1:9">
      <c r="A822" s="175"/>
      <c r="B822" s="485" t="s">
        <v>2746</v>
      </c>
      <c r="C822" s="989"/>
      <c r="D822" s="1291" t="s">
        <v>1763</v>
      </c>
      <c r="E822" s="1291"/>
      <c r="F822" s="1291"/>
      <c r="G822" s="988"/>
      <c r="I822" s="483"/>
    </row>
    <row r="823" spans="1:9">
      <c r="A823" s="175"/>
      <c r="B823" s="175"/>
      <c r="C823" s="989"/>
      <c r="D823" s="1291"/>
      <c r="E823" s="1291"/>
      <c r="F823" s="1291"/>
      <c r="G823" s="988"/>
      <c r="I823" s="490"/>
    </row>
    <row r="824" spans="1:9">
      <c r="A824" s="13"/>
      <c r="B824" s="13"/>
      <c r="C824" s="989"/>
      <c r="D824" s="1291"/>
      <c r="E824" s="1291"/>
      <c r="F824" s="1291"/>
      <c r="G824" s="988"/>
      <c r="I824" s="490"/>
    </row>
    <row r="825" spans="1:9">
      <c r="A825" s="175"/>
      <c r="B825" s="13"/>
      <c r="C825" s="989"/>
      <c r="D825" s="1291"/>
      <c r="E825" s="1291"/>
      <c r="F825" s="1291"/>
      <c r="G825" s="988"/>
      <c r="I825" s="490"/>
    </row>
    <row r="826" spans="1:9" ht="12.75" customHeight="1">
      <c r="A826" s="175"/>
      <c r="B826" s="13"/>
      <c r="C826" s="989"/>
      <c r="D826" s="1291"/>
      <c r="E826" s="1291"/>
      <c r="F826" s="1291"/>
      <c r="G826" s="988"/>
      <c r="I826" s="490"/>
    </row>
    <row r="827" spans="1:9" ht="12.75" customHeight="1">
      <c r="A827" s="175"/>
      <c r="B827" s="13"/>
      <c r="C827" s="989"/>
      <c r="D827" s="1291"/>
      <c r="E827" s="1291"/>
      <c r="F827" s="1291"/>
      <c r="G827" s="988"/>
      <c r="I827" s="490"/>
    </row>
    <row r="828" spans="1:9" ht="12.75" customHeight="1">
      <c r="A828" s="13"/>
      <c r="B828" s="13"/>
      <c r="C828" s="989"/>
      <c r="D828" s="988"/>
      <c r="E828" s="3"/>
      <c r="F828" s="3"/>
      <c r="G828" s="988"/>
      <c r="I828" s="490"/>
    </row>
    <row r="829" spans="1:9" ht="12.75" customHeight="1">
      <c r="A829" s="1312" t="s">
        <v>1764</v>
      </c>
      <c r="B829" s="1312"/>
      <c r="C829" s="1312"/>
      <c r="D829" s="1312"/>
      <c r="E829" s="1312"/>
      <c r="F829" s="1312"/>
      <c r="G829" s="1312"/>
      <c r="H829" s="1028"/>
      <c r="I829" s="1153"/>
    </row>
    <row r="830" spans="1:9" ht="12.75" customHeight="1">
      <c r="A830" s="172"/>
      <c r="B830" s="172"/>
      <c r="C830" s="989"/>
      <c r="D830" s="988"/>
      <c r="E830" s="988"/>
      <c r="F830" s="988"/>
      <c r="G830" s="988"/>
      <c r="I830" s="490"/>
    </row>
    <row r="831" spans="1:9" ht="12.75" customHeight="1">
      <c r="A831" s="175"/>
      <c r="B831" s="175"/>
      <c r="C831" s="354"/>
      <c r="D831" s="1316" t="s">
        <v>1804</v>
      </c>
      <c r="E831" s="1316"/>
      <c r="F831" s="1316"/>
      <c r="G831" s="3"/>
      <c r="I831" s="490"/>
    </row>
    <row r="832" spans="1:9" ht="14.25" customHeight="1">
      <c r="A832" s="175"/>
      <c r="B832" s="175"/>
      <c r="C832" s="354"/>
      <c r="D832" s="1263" t="s">
        <v>1765</v>
      </c>
      <c r="E832" s="1263"/>
      <c r="F832" s="1263"/>
      <c r="G832" s="3"/>
      <c r="I832" s="490"/>
    </row>
    <row r="833" spans="1:9" ht="12.75" customHeight="1">
      <c r="A833" s="175"/>
      <c r="B833" s="175"/>
      <c r="C833" s="354"/>
      <c r="D833" s="441"/>
      <c r="E833" s="441"/>
      <c r="F833" s="441"/>
      <c r="G833" s="3"/>
      <c r="I833" s="490"/>
    </row>
    <row r="834" spans="1:9" ht="12.75" customHeight="1">
      <c r="A834" s="354"/>
      <c r="B834" s="485" t="s">
        <v>2745</v>
      </c>
      <c r="C834" s="989"/>
      <c r="D834" s="1263" t="s">
        <v>1766</v>
      </c>
      <c r="E834" s="1263"/>
      <c r="F834" s="1263"/>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1" t="s">
        <v>2077</v>
      </c>
      <c r="E837" s="1321"/>
      <c r="F837" s="1321"/>
      <c r="G837" s="3"/>
      <c r="I837" s="490"/>
    </row>
    <row r="838" spans="1:9" ht="12.75" hidden="1" customHeight="1">
      <c r="A838" s="13"/>
      <c r="B838" s="13"/>
      <c r="C838" s="989"/>
      <c r="D838" s="1321"/>
      <c r="E838" s="1321"/>
      <c r="F838" s="1321"/>
      <c r="G838" s="3"/>
      <c r="I838" s="490"/>
    </row>
    <row r="839" spans="1:9" ht="12.75" hidden="1" customHeight="1">
      <c r="A839" s="13"/>
      <c r="B839" s="13"/>
      <c r="C839" s="989"/>
      <c r="D839" s="1321"/>
      <c r="E839" s="1321"/>
      <c r="F839" s="1321"/>
      <c r="G839" s="3"/>
      <c r="I839" s="490"/>
    </row>
    <row r="840" spans="1:9" ht="12.75" hidden="1" customHeight="1">
      <c r="A840" s="13"/>
      <c r="B840" s="13"/>
      <c r="C840" s="989"/>
      <c r="D840" s="1321"/>
      <c r="E840" s="1321"/>
      <c r="F840" s="1321"/>
      <c r="G840" s="3"/>
      <c r="I840" s="490"/>
    </row>
    <row r="841" spans="1:9" ht="12.75" hidden="1" customHeight="1">
      <c r="A841" s="13"/>
      <c r="B841" s="13"/>
      <c r="C841" s="989"/>
      <c r="D841" s="1321"/>
      <c r="E841" s="1321"/>
      <c r="F841" s="1321"/>
      <c r="G841" s="3"/>
      <c r="I841" s="490"/>
    </row>
    <row r="842" spans="1:9" ht="12.75" hidden="1" customHeight="1">
      <c r="A842" s="13"/>
      <c r="B842" s="13"/>
      <c r="C842" s="989"/>
      <c r="D842" s="1321"/>
      <c r="E842" s="1321"/>
      <c r="F842" s="1321"/>
      <c r="G842" s="3"/>
      <c r="I842" s="490"/>
    </row>
    <row r="843" spans="1:9" ht="12.75" hidden="1" customHeight="1">
      <c r="A843" s="13"/>
      <c r="B843" s="13"/>
      <c r="C843" s="989"/>
      <c r="D843" s="1321"/>
      <c r="E843" s="1321"/>
      <c r="F843" s="1321"/>
      <c r="G843" s="3"/>
      <c r="I843" s="490"/>
    </row>
    <row r="844" spans="1:9" ht="12.75" hidden="1" customHeight="1">
      <c r="A844" s="13"/>
      <c r="B844" s="13"/>
      <c r="C844" s="989"/>
      <c r="D844" s="1321"/>
      <c r="E844" s="1321"/>
      <c r="F844" s="1321"/>
      <c r="G844" s="3"/>
      <c r="I844" s="490"/>
    </row>
    <row r="845" spans="1:9" ht="12.75" hidden="1" customHeight="1">
      <c r="A845" s="13"/>
      <c r="B845" s="13"/>
      <c r="C845" s="989"/>
      <c r="D845" s="1321"/>
      <c r="E845" s="1321"/>
      <c r="F845" s="1321"/>
      <c r="G845" s="3"/>
      <c r="I845" s="490"/>
    </row>
    <row r="846" spans="1:9" ht="12.75" hidden="1" customHeight="1">
      <c r="A846" s="13"/>
      <c r="B846" s="13"/>
      <c r="C846" s="989"/>
      <c r="D846" s="1321"/>
      <c r="E846" s="1321"/>
      <c r="F846" s="1321"/>
      <c r="G846" s="3"/>
      <c r="I846" s="490"/>
    </row>
    <row r="847" spans="1:9" ht="12.75" hidden="1" customHeight="1">
      <c r="A847" s="13"/>
      <c r="B847" s="13"/>
      <c r="C847" s="989"/>
      <c r="D847" s="991"/>
      <c r="E847" s="3"/>
      <c r="F847" s="3"/>
      <c r="G847" s="3"/>
      <c r="I847" s="490"/>
    </row>
    <row r="848" spans="1:9" ht="12.75" customHeight="1">
      <c r="A848" s="175"/>
      <c r="B848" s="485" t="s">
        <v>2745</v>
      </c>
      <c r="C848" s="989"/>
      <c r="D848" s="1263" t="s">
        <v>1767</v>
      </c>
      <c r="E848" s="1263"/>
      <c r="F848" s="1263"/>
      <c r="G848" s="3"/>
      <c r="I848" s="490" t="s">
        <v>1884</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2746</v>
      </c>
      <c r="C852" s="989"/>
      <c r="D852" s="1316" t="s">
        <v>1768</v>
      </c>
      <c r="E852" s="1316"/>
      <c r="F852" s="1316"/>
      <c r="G852" s="3"/>
      <c r="I852" s="490"/>
    </row>
    <row r="853" spans="1:9" ht="12.75" customHeight="1">
      <c r="A853" s="354"/>
      <c r="B853" s="992"/>
      <c r="C853" s="989"/>
      <c r="D853" s="1316"/>
      <c r="E853" s="1316"/>
      <c r="F853" s="1316"/>
      <c r="G853" s="3"/>
      <c r="I853" s="490"/>
    </row>
    <row r="854" spans="1:9" ht="12.75" customHeight="1">
      <c r="A854" s="175"/>
      <c r="B854" s="354"/>
      <c r="C854" s="989"/>
      <c r="D854" s="1263" t="s">
        <v>2070</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2746</v>
      </c>
      <c r="C861" s="989"/>
      <c r="D861" s="1263" t="s">
        <v>1769</v>
      </c>
      <c r="E861" s="1263"/>
      <c r="F861" s="1263"/>
      <c r="G861" s="3"/>
      <c r="I861" s="490" t="s">
        <v>1882</v>
      </c>
    </row>
    <row r="862" spans="1:9" ht="12.75" customHeight="1">
      <c r="A862" s="175"/>
      <c r="B862" s="175"/>
      <c r="C862" s="989"/>
      <c r="D862" s="1263" t="s">
        <v>1770</v>
      </c>
      <c r="E862" s="1263"/>
      <c r="F862" s="1263"/>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2746</v>
      </c>
      <c r="C865" s="989"/>
      <c r="D865" s="1263" t="s">
        <v>1771</v>
      </c>
      <c r="E865" s="1263"/>
      <c r="F865" s="1263"/>
      <c r="G865" s="3"/>
      <c r="I865" s="490" t="s">
        <v>1885</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5" t="s">
        <v>1805</v>
      </c>
      <c r="E872" s="1325"/>
      <c r="F872" s="1325"/>
      <c r="G872" s="988"/>
      <c r="I872" s="490"/>
    </row>
    <row r="873" spans="1:9" ht="12.75" customHeight="1">
      <c r="A873" s="354"/>
      <c r="B873" s="354"/>
      <c r="C873" s="174"/>
      <c r="D873" s="1320" t="s">
        <v>1773</v>
      </c>
      <c r="E873" s="1320"/>
      <c r="F873" s="1320"/>
      <c r="G873" s="988"/>
      <c r="I873" s="490"/>
    </row>
    <row r="874" spans="1:9" ht="12.75" customHeight="1">
      <c r="A874" s="354"/>
      <c r="B874" s="354"/>
      <c r="C874" s="174"/>
      <c r="D874" s="995"/>
      <c r="E874" s="995"/>
      <c r="F874" s="995"/>
      <c r="G874" s="988"/>
      <c r="I874" s="490"/>
    </row>
    <row r="875" spans="1:9" ht="12.75" customHeight="1">
      <c r="A875" s="175"/>
      <c r="B875" s="485" t="s">
        <v>2745</v>
      </c>
      <c r="C875" s="354"/>
      <c r="D875" s="1303" t="s">
        <v>1774</v>
      </c>
      <c r="E875" s="1303"/>
      <c r="F875" s="1303"/>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2745</v>
      </c>
      <c r="C878" s="354"/>
      <c r="D878" s="1263" t="s">
        <v>1775</v>
      </c>
      <c r="E878" s="1313"/>
      <c r="F878" s="1313"/>
      <c r="G878" s="3"/>
      <c r="I878" s="490" t="s">
        <v>1885</v>
      </c>
    </row>
    <row r="879" spans="1:9" ht="12.75" customHeight="1">
      <c r="A879" s="354"/>
      <c r="B879" s="354"/>
      <c r="C879" s="354"/>
      <c r="D879" s="1313"/>
      <c r="E879" s="1313"/>
      <c r="F879" s="1313"/>
      <c r="G879" s="3"/>
      <c r="I879" s="490"/>
    </row>
    <row r="880" spans="1:9" ht="12.75" customHeight="1">
      <c r="A880" s="354"/>
      <c r="B880" s="354"/>
      <c r="C880" s="354"/>
      <c r="D880" s="118"/>
      <c r="E880" s="3"/>
      <c r="F880" s="3"/>
      <c r="G880" s="3"/>
      <c r="I880" s="490"/>
    </row>
    <row r="881" spans="1:9" ht="12.75" customHeight="1">
      <c r="A881" s="354"/>
      <c r="B881" s="485" t="s">
        <v>2746</v>
      </c>
      <c r="C881" s="354"/>
      <c r="D881" s="1314" t="s">
        <v>1776</v>
      </c>
      <c r="E881" s="1314"/>
      <c r="F881" s="1314"/>
      <c r="G881" s="988"/>
      <c r="I881" s="490"/>
    </row>
    <row r="882" spans="1:9" ht="12.75" customHeight="1">
      <c r="A882" s="354"/>
      <c r="B882" s="996"/>
      <c r="C882" s="354"/>
      <c r="D882" s="1314"/>
      <c r="E882" s="1314"/>
      <c r="F882" s="1314"/>
      <c r="G882" s="988"/>
      <c r="I882" s="490"/>
    </row>
    <row r="883" spans="1:9" ht="12.75" customHeight="1">
      <c r="A883" s="175"/>
      <c r="B883"/>
      <c r="C883" s="354"/>
      <c r="D883" s="1263" t="s">
        <v>2070</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2746</v>
      </c>
      <c r="C890" s="354"/>
      <c r="D890" s="1304" t="s">
        <v>1769</v>
      </c>
      <c r="E890" s="1304"/>
      <c r="F890" s="1304"/>
      <c r="G890" s="988"/>
      <c r="I890" s="490"/>
    </row>
    <row r="891" spans="1:9" ht="12.75" customHeight="1">
      <c r="A891" s="175"/>
      <c r="B891" s="175"/>
      <c r="C891" s="354"/>
      <c r="D891" s="1304" t="s">
        <v>1770</v>
      </c>
      <c r="E891" s="1304"/>
      <c r="F891" s="1304"/>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2746</v>
      </c>
      <c r="C894" s="354"/>
      <c r="D894" s="1263" t="s">
        <v>1771</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312" t="s">
        <v>1806</v>
      </c>
      <c r="B899" s="1312"/>
      <c r="C899" s="1312"/>
      <c r="D899" s="1312"/>
      <c r="E899" s="1312"/>
      <c r="F899" s="1312"/>
      <c r="G899" s="1312"/>
      <c r="H899" s="1028"/>
      <c r="I899" s="1153"/>
    </row>
    <row r="900" spans="1:9" ht="12.75" customHeight="1">
      <c r="A900" s="57"/>
      <c r="B900" s="57"/>
      <c r="C900" s="57"/>
      <c r="D900" s="57"/>
      <c r="E900" s="57"/>
      <c r="F900" s="57"/>
      <c r="G900" s="57"/>
      <c r="I900" s="490"/>
    </row>
    <row r="901" spans="1:9" ht="12.75" customHeight="1">
      <c r="A901" s="57"/>
      <c r="B901" s="57"/>
      <c r="C901" s="57"/>
      <c r="D901" s="1328" t="s">
        <v>1812</v>
      </c>
      <c r="E901" s="1328"/>
      <c r="F901" s="1328"/>
      <c r="G901" s="57"/>
      <c r="I901" s="490"/>
    </row>
    <row r="902" spans="1:9" ht="12.75" customHeight="1">
      <c r="A902" s="57"/>
      <c r="B902" s="57"/>
      <c r="C902" s="57"/>
      <c r="D902" s="981"/>
      <c r="E902" s="981"/>
      <c r="F902" s="981"/>
      <c r="G902" s="57"/>
      <c r="I902" s="490"/>
    </row>
    <row r="903" spans="1:9" ht="12.75" customHeight="1">
      <c r="A903" s="57"/>
      <c r="B903" s="485" t="s">
        <v>2745</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8" t="s">
        <v>1807</v>
      </c>
      <c r="E905" s="1328"/>
      <c r="F905" s="1328"/>
      <c r="G905" s="988"/>
      <c r="I905" s="490"/>
    </row>
    <row r="906" spans="1:9" ht="12.75" customHeight="1">
      <c r="A906" s="172"/>
      <c r="B906" s="172"/>
      <c r="C906" s="172"/>
      <c r="D906" s="1303" t="s">
        <v>1777</v>
      </c>
      <c r="E906" s="1303"/>
      <c r="F906" s="1303"/>
      <c r="G906" s="988"/>
      <c r="I906" s="490"/>
    </row>
    <row r="907" spans="1:9" ht="12.75" customHeight="1">
      <c r="A907" s="989"/>
      <c r="B907" s="989"/>
      <c r="C907" s="989"/>
      <c r="D907" s="2"/>
      <c r="E907" s="988"/>
      <c r="F907" s="988"/>
      <c r="G907" s="988"/>
      <c r="I907" s="490"/>
    </row>
    <row r="908" spans="1:9" ht="12.75" customHeight="1">
      <c r="A908" s="175"/>
      <c r="B908" s="485" t="s">
        <v>2745</v>
      </c>
      <c r="C908" s="354"/>
      <c r="D908" s="1263" t="s">
        <v>1781</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1780</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2745</v>
      </c>
      <c r="C913" s="174"/>
      <c r="D913" s="1267" t="s">
        <v>1778</v>
      </c>
      <c r="E913" s="1267"/>
      <c r="F913" s="1267"/>
      <c r="G913" s="988"/>
      <c r="I913" s="490"/>
    </row>
    <row r="914" spans="1:9" ht="12.75" customHeight="1">
      <c r="A914" s="175"/>
      <c r="B914" s="175"/>
      <c r="C914" s="174"/>
      <c r="D914" s="1267"/>
      <c r="E914" s="1267"/>
      <c r="F914" s="1267"/>
      <c r="G914" s="988"/>
      <c r="I914" s="490"/>
    </row>
    <row r="915" spans="1:9" ht="12.75" customHeight="1">
      <c r="A915" s="175"/>
      <c r="B915" s="175"/>
      <c r="C915" s="174"/>
      <c r="D915" s="1267"/>
      <c r="E915" s="1267"/>
      <c r="F915" s="1267"/>
      <c r="G915" s="988"/>
      <c r="I915" s="490"/>
    </row>
    <row r="916" spans="1:9" ht="12.75" customHeight="1">
      <c r="A916" s="175"/>
      <c r="B916" s="175"/>
      <c r="C916" s="174"/>
      <c r="D916" s="1267"/>
      <c r="E916" s="1267"/>
      <c r="F916" s="1267"/>
      <c r="G916" s="988"/>
      <c r="I916" s="490"/>
    </row>
    <row r="917" spans="1:9" ht="12.75" customHeight="1">
      <c r="A917" s="175"/>
      <c r="B917" s="175"/>
      <c r="C917" s="174"/>
      <c r="D917" s="1267"/>
      <c r="E917" s="1267"/>
      <c r="F917" s="1267"/>
      <c r="G917" s="988"/>
      <c r="I917" s="490"/>
    </row>
    <row r="918" spans="1:9" ht="12.75" customHeight="1">
      <c r="A918" s="174"/>
      <c r="B918" s="174"/>
      <c r="C918" s="174"/>
      <c r="D918" s="1267"/>
      <c r="E918" s="1267"/>
      <c r="F918" s="1267"/>
      <c r="G918" s="988"/>
      <c r="I918" s="490"/>
    </row>
    <row r="919" spans="1:9" ht="12.75" customHeight="1">
      <c r="A919" s="174"/>
      <c r="B919" s="174"/>
      <c r="C919" s="174"/>
      <c r="D919" s="1267"/>
      <c r="E919" s="1267"/>
      <c r="F919" s="1267"/>
      <c r="G919" s="988"/>
      <c r="I919" s="490"/>
    </row>
    <row r="920" spans="1:9" ht="12.75" customHeight="1">
      <c r="A920" s="174"/>
      <c r="B920" s="174"/>
      <c r="C920" s="174"/>
      <c r="D920" s="1267"/>
      <c r="E920" s="1267"/>
      <c r="F920" s="1267"/>
      <c r="G920" s="988"/>
      <c r="I920" s="490"/>
    </row>
    <row r="921" spans="1:9" ht="12.75" customHeight="1">
      <c r="A921" s="174"/>
      <c r="B921" s="174"/>
      <c r="C921" s="174"/>
      <c r="D921" s="335"/>
      <c r="E921" s="335"/>
      <c r="F921" s="335"/>
      <c r="G921" s="988"/>
      <c r="I921" s="490"/>
    </row>
    <row r="922" spans="1:9" ht="12.75" customHeight="1">
      <c r="A922" s="989"/>
      <c r="B922" s="485" t="s">
        <v>2746</v>
      </c>
      <c r="C922" s="989"/>
      <c r="D922" s="1263" t="s">
        <v>1782</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2746</v>
      </c>
      <c r="C925" s="989"/>
      <c r="D925" s="1291" t="s">
        <v>1783</v>
      </c>
      <c r="E925" s="1291"/>
      <c r="F925" s="1291"/>
      <c r="G925" s="988"/>
      <c r="I925" s="490"/>
    </row>
    <row r="926" spans="1:9" ht="12.75" customHeight="1">
      <c r="A926" s="989"/>
      <c r="B926" s="989"/>
      <c r="C926" s="989"/>
      <c r="D926" s="1291"/>
      <c r="E926" s="1291"/>
      <c r="F926" s="1291"/>
      <c r="G926" s="988"/>
      <c r="I926" s="490"/>
    </row>
    <row r="927" spans="1:9" ht="12.75" customHeight="1">
      <c r="A927" s="989"/>
      <c r="B927" s="989"/>
      <c r="C927" s="989"/>
      <c r="D927" s="1291"/>
      <c r="E927" s="1291"/>
      <c r="F927" s="1291"/>
      <c r="G927" s="988"/>
      <c r="I927" s="490"/>
    </row>
    <row r="928" spans="1:9" ht="12.75" customHeight="1">
      <c r="A928" s="989"/>
      <c r="B928" s="989"/>
      <c r="C928" s="989"/>
      <c r="D928" s="1291"/>
      <c r="E928" s="1291"/>
      <c r="F928" s="1291"/>
      <c r="G928" s="988"/>
      <c r="I928" s="490"/>
    </row>
    <row r="929" spans="1:9" ht="12.75" customHeight="1">
      <c r="A929" s="989"/>
      <c r="B929" s="989"/>
      <c r="C929" s="989"/>
      <c r="D929" s="118"/>
      <c r="E929" s="988"/>
      <c r="F929" s="988"/>
      <c r="G929" s="988"/>
      <c r="I929" s="490"/>
    </row>
    <row r="930" spans="1:9" ht="12.75" customHeight="1">
      <c r="A930" s="989"/>
      <c r="B930" s="485" t="s">
        <v>2746</v>
      </c>
      <c r="C930" s="989"/>
      <c r="D930" s="1303" t="s">
        <v>2071</v>
      </c>
      <c r="E930" s="1303"/>
      <c r="F930" s="1303"/>
      <c r="G930" s="988"/>
      <c r="I930" s="490"/>
    </row>
    <row r="931" spans="1:9" ht="12.75" customHeight="1">
      <c r="A931" s="989"/>
      <c r="B931" s="989"/>
      <c r="C931" s="989"/>
      <c r="D931" s="118"/>
      <c r="E931" s="988"/>
      <c r="F931" s="988"/>
      <c r="G931" s="988"/>
      <c r="I931" s="490"/>
    </row>
    <row r="932" spans="1:9" ht="12.75" customHeight="1">
      <c r="A932" s="989"/>
      <c r="B932" s="485" t="s">
        <v>2746</v>
      </c>
      <c r="C932" s="989"/>
      <c r="D932" s="1303" t="s">
        <v>2072</v>
      </c>
      <c r="E932" s="1303"/>
      <c r="F932" s="1303"/>
      <c r="G932" s="988"/>
      <c r="I932" s="490"/>
    </row>
    <row r="933" spans="1:9" ht="12.75" customHeight="1">
      <c r="A933" s="174"/>
      <c r="B933" s="174"/>
      <c r="C933" s="174"/>
      <c r="D933" s="2"/>
      <c r="E933" s="3"/>
      <c r="F933" s="988"/>
      <c r="G933" s="988"/>
      <c r="I933" s="490"/>
    </row>
    <row r="934" spans="1:9" ht="12.75" customHeight="1">
      <c r="A934" s="997"/>
      <c r="B934" s="485" t="s">
        <v>2745</v>
      </c>
      <c r="C934" s="998"/>
      <c r="D934" s="1267" t="s">
        <v>1779</v>
      </c>
      <c r="E934" s="1267"/>
      <c r="F934" s="1267"/>
      <c r="G934" s="999"/>
      <c r="I934" s="490"/>
    </row>
    <row r="935" spans="1:9" ht="12.75" customHeight="1">
      <c r="A935" s="997"/>
      <c r="B935" s="997"/>
      <c r="C935" s="998"/>
      <c r="D935" s="1267"/>
      <c r="E935" s="1267"/>
      <c r="F935" s="1267"/>
      <c r="G935" s="999"/>
      <c r="I935" s="490"/>
    </row>
    <row r="936" spans="1:9" ht="12.75" customHeight="1">
      <c r="A936" s="997"/>
      <c r="B936" s="997"/>
      <c r="C936" s="998"/>
      <c r="D936" s="1267"/>
      <c r="E936" s="1267"/>
      <c r="F936" s="1267"/>
      <c r="G936" s="999"/>
      <c r="I936" s="490"/>
    </row>
    <row r="937" spans="1:9" ht="12.75" customHeight="1">
      <c r="A937" s="997"/>
      <c r="B937" s="997"/>
      <c r="C937" s="998"/>
      <c r="D937" s="1267"/>
      <c r="E937" s="1267"/>
      <c r="F937" s="1267"/>
      <c r="G937" s="999"/>
      <c r="I937" s="490"/>
    </row>
    <row r="938" spans="1:9" ht="12.75" customHeight="1">
      <c r="A938" s="997"/>
      <c r="B938" s="997"/>
      <c r="C938" s="998"/>
      <c r="D938" s="1267"/>
      <c r="E938" s="1267"/>
      <c r="F938" s="1267"/>
      <c r="G938" s="999"/>
      <c r="I938" s="490"/>
    </row>
    <row r="939" spans="1:9" ht="12.75" customHeight="1">
      <c r="A939" s="997"/>
      <c r="B939" s="997"/>
      <c r="C939" s="998"/>
      <c r="D939" s="1267"/>
      <c r="E939" s="1267"/>
      <c r="F939" s="1267"/>
      <c r="G939" s="999"/>
      <c r="I939" s="490"/>
    </row>
    <row r="940" spans="1:9" ht="12.75" customHeight="1">
      <c r="A940" s="997"/>
      <c r="B940" s="997"/>
      <c r="C940" s="998"/>
      <c r="D940" s="1267"/>
      <c r="E940" s="1267"/>
      <c r="F940" s="1267"/>
      <c r="G940" s="999"/>
      <c r="I940" s="490"/>
    </row>
    <row r="941" spans="1:9" ht="12.75" customHeight="1">
      <c r="A941" s="997"/>
      <c r="B941" s="997"/>
      <c r="C941" s="998"/>
      <c r="D941" s="1267"/>
      <c r="E941" s="1267"/>
      <c r="F941" s="1267"/>
      <c r="G941" s="999"/>
      <c r="I941" s="490"/>
    </row>
    <row r="942" spans="1:9" ht="12.75" customHeight="1">
      <c r="A942" s="997"/>
      <c r="B942" s="997"/>
      <c r="C942" s="998"/>
      <c r="D942" s="1267"/>
      <c r="E942" s="1267"/>
      <c r="F942" s="1267"/>
      <c r="G942" s="999"/>
      <c r="I942" s="490"/>
    </row>
    <row r="943" spans="1:9" ht="12.75" customHeight="1">
      <c r="A943" s="174"/>
      <c r="B943" s="174"/>
      <c r="C943" s="174"/>
      <c r="D943" s="2"/>
      <c r="E943" s="3"/>
      <c r="F943" s="988"/>
      <c r="G943" s="988"/>
      <c r="I943" s="490"/>
    </row>
    <row r="944" spans="1:9" ht="12.75" customHeight="1">
      <c r="A944" s="175"/>
      <c r="B944" s="485" t="s">
        <v>2745</v>
      </c>
      <c r="C944" s="174"/>
      <c r="D944" s="1322" t="s">
        <v>1888</v>
      </c>
      <c r="E944" s="1322"/>
      <c r="F944" s="1322"/>
      <c r="G944" s="988"/>
      <c r="I944" s="490"/>
    </row>
    <row r="945" spans="1:9" ht="12.75" customHeight="1">
      <c r="A945" s="175"/>
      <c r="B945" s="175"/>
      <c r="C945" s="174"/>
      <c r="D945" s="1322"/>
      <c r="E945" s="1322"/>
      <c r="F945" s="1322"/>
      <c r="G945" s="988"/>
      <c r="I945" s="490"/>
    </row>
    <row r="946" spans="1:9" ht="12.75" customHeight="1">
      <c r="A946" s="175"/>
      <c r="B946" s="175"/>
      <c r="C946" s="174"/>
      <c r="D946" s="1322"/>
      <c r="E946" s="1322"/>
      <c r="F946" s="1322"/>
      <c r="G946" s="988"/>
      <c r="I946" s="490"/>
    </row>
    <row r="947" spans="1:9" ht="12.75" customHeight="1">
      <c r="A947" s="175"/>
      <c r="B947" s="175"/>
      <c r="C947" s="174"/>
      <c r="D947" s="1322"/>
      <c r="E947" s="1322"/>
      <c r="F947" s="1322"/>
      <c r="G947" s="988"/>
      <c r="I947" s="490"/>
    </row>
    <row r="948" spans="1:9" ht="12.75" customHeight="1">
      <c r="A948" s="175"/>
      <c r="B948" s="175"/>
      <c r="C948" s="174"/>
      <c r="D948" s="1322"/>
      <c r="E948" s="1322"/>
      <c r="F948" s="1322"/>
      <c r="G948" s="988"/>
      <c r="I948" s="490"/>
    </row>
    <row r="949" spans="1:9" ht="12.75" customHeight="1">
      <c r="A949" s="175"/>
      <c r="B949" s="175"/>
      <c r="C949" s="174"/>
      <c r="D949" s="1322"/>
      <c r="E949" s="1322"/>
      <c r="F949" s="1322"/>
      <c r="G949" s="988"/>
      <c r="I949" s="490"/>
    </row>
    <row r="950" spans="1:9" ht="12.75" customHeight="1">
      <c r="A950" s="175"/>
      <c r="B950" s="175"/>
      <c r="C950" s="174"/>
      <c r="D950" s="1322"/>
      <c r="E950" s="1322"/>
      <c r="F950" s="1322"/>
      <c r="G950" s="988"/>
      <c r="I950" s="490"/>
    </row>
    <row r="951" spans="1:9" ht="12.75" customHeight="1">
      <c r="A951" s="175"/>
      <c r="B951" s="175"/>
      <c r="C951" s="174"/>
      <c r="D951" s="1026"/>
      <c r="E951" s="1026"/>
      <c r="F951" s="1026"/>
      <c r="G951" s="988"/>
      <c r="I951" s="490"/>
    </row>
    <row r="952" spans="1:9" ht="12.75" customHeight="1">
      <c r="A952" s="175"/>
      <c r="B952" s="485" t="s">
        <v>2746</v>
      </c>
      <c r="C952" s="174"/>
      <c r="D952" s="1266" t="s">
        <v>2139</v>
      </c>
      <c r="E952" s="1266"/>
      <c r="F952" s="1266"/>
      <c r="G952" s="988"/>
      <c r="I952" s="490"/>
    </row>
    <row r="953" spans="1:9" ht="12.75" customHeight="1">
      <c r="A953" s="175"/>
      <c r="B953" s="175"/>
      <c r="C953" s="174"/>
      <c r="D953" s="1266"/>
      <c r="E953" s="1266"/>
      <c r="F953" s="1266"/>
      <c r="G953" s="988"/>
      <c r="I953" s="490"/>
    </row>
    <row r="954" spans="1:9" ht="12.75" customHeight="1">
      <c r="A954" s="175"/>
      <c r="B954" s="175"/>
      <c r="C954" s="174"/>
      <c r="D954" s="1266"/>
      <c r="E954" s="1266"/>
      <c r="F954" s="1266"/>
      <c r="G954" s="988"/>
      <c r="I954" s="490"/>
    </row>
    <row r="955" spans="1:9" ht="12.75" customHeight="1">
      <c r="A955" s="175"/>
      <c r="B955" s="175"/>
      <c r="C955" s="174"/>
      <c r="D955" s="1266"/>
      <c r="E955" s="1266"/>
      <c r="F955" s="1266"/>
      <c r="G955" s="988"/>
      <c r="I955" s="490"/>
    </row>
    <row r="956" spans="1:9" ht="12.75" customHeight="1">
      <c r="A956" s="175"/>
      <c r="B956" s="175"/>
      <c r="C956" s="174"/>
      <c r="D956" s="1266"/>
      <c r="E956" s="1266"/>
      <c r="F956" s="1266"/>
      <c r="G956" s="988"/>
      <c r="I956" s="490"/>
    </row>
    <row r="957" spans="1:9" ht="12.75" customHeight="1">
      <c r="A957" s="175"/>
      <c r="B957" s="175"/>
      <c r="C957" s="174"/>
      <c r="D957" s="1266"/>
      <c r="E957" s="1266"/>
      <c r="F957" s="1266"/>
      <c r="G957" s="988"/>
      <c r="I957" s="490"/>
    </row>
    <row r="958" spans="1:9" ht="12.75" customHeight="1">
      <c r="A958" s="175"/>
      <c r="B958" s="175"/>
      <c r="C958" s="174"/>
      <c r="D958" s="1026"/>
      <c r="E958" s="1026"/>
      <c r="F958" s="1026"/>
      <c r="G958" s="988"/>
      <c r="I958" s="490"/>
    </row>
    <row r="959" spans="1:9" ht="12.75" customHeight="1">
      <c r="A959" s="989"/>
      <c r="B959" s="485" t="s">
        <v>2746</v>
      </c>
      <c r="C959" s="989"/>
      <c r="D959" s="1291" t="s">
        <v>1784</v>
      </c>
      <c r="E959" s="1291"/>
      <c r="F959" s="1291"/>
      <c r="G959" s="988"/>
      <c r="I959" s="490"/>
    </row>
    <row r="960" spans="1:9" ht="12.75" customHeight="1">
      <c r="A960" s="989"/>
      <c r="B960" s="989"/>
      <c r="C960" s="989"/>
      <c r="D960" s="1291"/>
      <c r="E960" s="1291"/>
      <c r="F960" s="1291"/>
      <c r="G960" s="988"/>
      <c r="I960" s="490"/>
    </row>
    <row r="961" spans="1:9" ht="12.75" customHeight="1">
      <c r="A961" s="989"/>
      <c r="B961" s="989"/>
      <c r="C961" s="989"/>
      <c r="D961" s="1291"/>
      <c r="E961" s="1291"/>
      <c r="F961" s="1291"/>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2746</v>
      </c>
      <c r="C964" s="174"/>
      <c r="D964" s="1267" t="s">
        <v>1887</v>
      </c>
      <c r="E964" s="1267"/>
      <c r="F964" s="1267"/>
      <c r="G964" s="988"/>
      <c r="I964" s="490"/>
    </row>
    <row r="965" spans="1:9" ht="12.75" customHeight="1">
      <c r="A965" s="175"/>
      <c r="B965" s="175"/>
      <c r="C965" s="174"/>
      <c r="D965" s="1267"/>
      <c r="E965" s="1267"/>
      <c r="F965" s="1267"/>
      <c r="G965" s="988"/>
      <c r="I965" s="490"/>
    </row>
    <row r="966" spans="1:9" ht="12.75" customHeight="1">
      <c r="A966" s="175"/>
      <c r="B966" s="175"/>
      <c r="C966" s="174"/>
      <c r="D966" s="1267"/>
      <c r="E966" s="1267"/>
      <c r="F966" s="1267"/>
      <c r="G966" s="988"/>
      <c r="I966" s="490"/>
    </row>
    <row r="967" spans="1:9" ht="12.75" customHeight="1">
      <c r="A967" s="175"/>
      <c r="B967" s="175"/>
      <c r="C967" s="174"/>
      <c r="D967" s="1267"/>
      <c r="E967" s="1267"/>
      <c r="F967" s="1267"/>
      <c r="G967" s="988"/>
      <c r="I967" s="490"/>
    </row>
    <row r="968" spans="1:9" ht="12.75" customHeight="1">
      <c r="A968" s="989"/>
      <c r="B968" s="989"/>
      <c r="C968" s="989"/>
      <c r="D968" s="980"/>
      <c r="E968" s="980"/>
      <c r="F968" s="980"/>
      <c r="G968" s="980"/>
      <c r="I968" s="490"/>
    </row>
    <row r="969" spans="1:9" ht="12.75" customHeight="1">
      <c r="A969" s="354"/>
      <c r="B969" s="354"/>
      <c r="C969" s="354"/>
      <c r="D969" s="1325" t="s">
        <v>1785</v>
      </c>
      <c r="E969" s="1325"/>
      <c r="F969" s="1325"/>
      <c r="G969" s="3"/>
      <c r="I969" s="490"/>
    </row>
    <row r="970" spans="1:9" ht="12.75" customHeight="1">
      <c r="A970" s="175"/>
      <c r="B970" s="485" t="s">
        <v>2746</v>
      </c>
      <c r="C970" s="354"/>
      <c r="D970" s="1303" t="s">
        <v>1808</v>
      </c>
      <c r="E970" s="1303"/>
      <c r="F970" s="1303"/>
      <c r="G970" s="3"/>
      <c r="I970" s="490"/>
    </row>
    <row r="971" spans="1:9" ht="12.75" customHeight="1">
      <c r="A971" s="354"/>
      <c r="B971" s="354"/>
      <c r="C971" s="354"/>
      <c r="D971" s="3"/>
      <c r="E971" s="3"/>
      <c r="F971" s="3"/>
      <c r="G971" s="3"/>
      <c r="I971" s="490"/>
    </row>
    <row r="972" spans="1:9" ht="12.75" customHeight="1">
      <c r="A972" s="354"/>
      <c r="B972" s="354"/>
      <c r="C972" s="354"/>
      <c r="D972" s="1325" t="s">
        <v>1786</v>
      </c>
      <c r="E972" s="1325"/>
      <c r="F972" s="1325"/>
      <c r="G972"/>
      <c r="I972" s="490"/>
    </row>
    <row r="973" spans="1:9" ht="12.75" customHeight="1">
      <c r="A973" s="175"/>
      <c r="B973" s="485" t="s">
        <v>2746</v>
      </c>
      <c r="C973" s="354"/>
      <c r="D973" s="1263" t="s">
        <v>2073</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312" t="s">
        <v>1787</v>
      </c>
      <c r="B989" s="1312"/>
      <c r="C989" s="1312"/>
      <c r="D989" s="1312"/>
      <c r="E989" s="1312"/>
      <c r="F989" s="1312"/>
      <c r="G989" s="1312"/>
      <c r="H989" s="1028"/>
      <c r="I989" s="1153"/>
    </row>
    <row r="990" spans="1:9" ht="12.75" customHeight="1">
      <c r="A990" s="118"/>
      <c r="B990" s="118"/>
      <c r="C990" s="354"/>
      <c r="D990" s="3"/>
      <c r="E990" s="3"/>
      <c r="F990" s="3"/>
      <c r="G990" s="3"/>
      <c r="I990" s="490"/>
    </row>
    <row r="991" spans="1:9" ht="12.75" customHeight="1">
      <c r="A991" s="354"/>
      <c r="B991" s="354"/>
      <c r="C991" s="989"/>
      <c r="D991" s="1325" t="s">
        <v>1809</v>
      </c>
      <c r="E991" s="1325"/>
      <c r="F991" s="1325"/>
      <c r="G991" s="3"/>
      <c r="I991" s="490"/>
    </row>
    <row r="992" spans="1:9" ht="12.75" customHeight="1">
      <c r="A992" s="172"/>
      <c r="B992" s="172"/>
      <c r="C992" s="172"/>
      <c r="D992" s="1303" t="s">
        <v>1788</v>
      </c>
      <c r="E992" s="1303"/>
      <c r="F992" s="1303"/>
      <c r="G992" s="3"/>
      <c r="I992" s="490"/>
    </row>
    <row r="993" spans="1:9" ht="12.75" customHeight="1">
      <c r="A993" s="172"/>
      <c r="B993" s="172"/>
      <c r="C993" s="172"/>
      <c r="D993" s="3"/>
      <c r="E993" s="3"/>
      <c r="F993" s="988"/>
      <c r="G993"/>
      <c r="I993" s="490"/>
    </row>
    <row r="994" spans="1:9" ht="12.75" customHeight="1">
      <c r="A994" s="354"/>
      <c r="B994" s="485" t="s">
        <v>2745</v>
      </c>
      <c r="C994" s="354"/>
      <c r="D994" s="1327" t="s">
        <v>1917</v>
      </c>
      <c r="E994" s="1327"/>
      <c r="F994" s="1327"/>
      <c r="G994"/>
      <c r="I994" s="490"/>
    </row>
    <row r="995" spans="1:9" ht="12.75" customHeight="1">
      <c r="A995" s="354"/>
      <c r="B995" s="354"/>
      <c r="C995" s="354"/>
      <c r="D995" s="1327"/>
      <c r="E995" s="1327"/>
      <c r="F995" s="1327"/>
      <c r="G995"/>
      <c r="I995" s="490"/>
    </row>
    <row r="996" spans="1:9" ht="12.75" customHeight="1">
      <c r="A996" s="354"/>
      <c r="B996" s="354"/>
      <c r="C996" s="354"/>
      <c r="D996" s="1038"/>
      <c r="E996" s="1036" t="s">
        <v>1918</v>
      </c>
      <c r="F996" s="1038"/>
      <c r="G996"/>
      <c r="I996" s="490"/>
    </row>
    <row r="997" spans="1:9" ht="12.75" customHeight="1">
      <c r="A997" s="354"/>
      <c r="B997" s="354"/>
      <c r="C997" s="354"/>
      <c r="D997" s="1269" t="s">
        <v>1916</v>
      </c>
      <c r="E997" s="1269"/>
      <c r="F997" s="1269"/>
      <c r="G997"/>
      <c r="I997" s="490"/>
    </row>
    <row r="998" spans="1:9" ht="12.75" customHeight="1">
      <c r="A998" s="354"/>
      <c r="B998" s="354"/>
      <c r="C998" s="354"/>
      <c r="D998" s="1269"/>
      <c r="E998" s="1269"/>
      <c r="F998" s="1269"/>
      <c r="G998"/>
      <c r="I998" s="490"/>
    </row>
    <row r="999" spans="1:9" ht="12.75" customHeight="1">
      <c r="A999" s="174"/>
      <c r="B999" s="174"/>
      <c r="C999" s="174"/>
      <c r="D999" s="1269"/>
      <c r="E999" s="1269"/>
      <c r="F999" s="1269"/>
      <c r="G999"/>
      <c r="I999" s="490"/>
    </row>
    <row r="1000" spans="1:9" ht="12.75" customHeight="1">
      <c r="A1000" s="174"/>
      <c r="B1000" s="174"/>
      <c r="C1000" s="174"/>
      <c r="D1000" s="1269"/>
      <c r="E1000" s="1269"/>
      <c r="F1000" s="1269"/>
      <c r="G1000"/>
      <c r="I1000" s="490"/>
    </row>
    <row r="1001" spans="1:9" ht="12.75" customHeight="1">
      <c r="A1001" s="174"/>
      <c r="B1001" s="174"/>
      <c r="C1001" s="174"/>
      <c r="D1001" s="335"/>
      <c r="E1001" s="335"/>
      <c r="F1001" s="335"/>
      <c r="G1001"/>
      <c r="I1001" s="490"/>
    </row>
    <row r="1002" spans="1:9" ht="12.75" customHeight="1">
      <c r="A1002" s="174"/>
      <c r="B1002" s="485" t="s">
        <v>2746</v>
      </c>
      <c r="C1002" s="174"/>
      <c r="D1002" s="1263" t="s">
        <v>1789</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2746</v>
      </c>
      <c r="C1007" s="174"/>
      <c r="D1007" s="1263" t="s">
        <v>2232</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2746</v>
      </c>
      <c r="C1010" s="354"/>
      <c r="D1010" s="1303" t="s">
        <v>1790</v>
      </c>
      <c r="E1010" s="1303"/>
      <c r="F1010" s="1303"/>
      <c r="G1010"/>
      <c r="I1010" s="490"/>
    </row>
    <row r="1011" spans="1:9" ht="12.75" customHeight="1">
      <c r="A1011" s="354"/>
      <c r="B1011" s="354"/>
      <c r="C1011" s="354"/>
      <c r="D1011" s="3"/>
      <c r="E1011" s="3"/>
      <c r="F1011" s="3"/>
      <c r="G1011"/>
      <c r="I1011" s="490"/>
    </row>
    <row r="1012" spans="1:9" ht="12.75" customHeight="1">
      <c r="A1012" s="175"/>
      <c r="B1012" s="485" t="s">
        <v>2746</v>
      </c>
      <c r="C1012" s="354"/>
      <c r="D1012" s="1303" t="s">
        <v>1791</v>
      </c>
      <c r="E1012" s="1303"/>
      <c r="F1012" s="1303"/>
      <c r="G1012"/>
      <c r="I1012" s="490"/>
    </row>
    <row r="1013" spans="1:9" ht="12.75" customHeight="1">
      <c r="A1013" s="354"/>
      <c r="B1013" s="354"/>
      <c r="C1013" s="354"/>
      <c r="D1013" s="118"/>
      <c r="E1013" s="3"/>
      <c r="F1013" s="3"/>
      <c r="G1013"/>
      <c r="I1013" s="490"/>
    </row>
    <row r="1014" spans="1:9" ht="12.75" customHeight="1">
      <c r="A1014" s="175"/>
      <c r="B1014" s="485" t="s">
        <v>2745</v>
      </c>
      <c r="C1014" s="354"/>
      <c r="D1014" s="1303" t="s">
        <v>1792</v>
      </c>
      <c r="E1014" s="1303"/>
      <c r="F1014" s="1303"/>
      <c r="G1014"/>
      <c r="I1014" s="490"/>
    </row>
    <row r="1015" spans="1:9" ht="12.75" customHeight="1">
      <c r="A1015" s="354"/>
      <c r="B1015" s="354"/>
      <c r="C1015" s="354"/>
      <c r="D1015" s="118"/>
      <c r="E1015" s="3"/>
      <c r="F1015" s="3"/>
      <c r="G1015"/>
      <c r="I1015" s="490"/>
    </row>
    <row r="1016" spans="1:9" ht="12.75" customHeight="1">
      <c r="A1016" s="175"/>
      <c r="B1016" s="485" t="s">
        <v>2746</v>
      </c>
      <c r="C1016" s="354"/>
      <c r="D1016" s="1263" t="s">
        <v>1793</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2746</v>
      </c>
      <c r="C1019" s="1000"/>
      <c r="D1019" s="1319" t="s">
        <v>1794</v>
      </c>
      <c r="E1019" s="1319"/>
      <c r="F1019" s="1319"/>
      <c r="G1019" s="1001"/>
      <c r="I1019" s="490"/>
    </row>
    <row r="1020" spans="1:9" ht="12.75" customHeight="1">
      <c r="A1020" s="1000"/>
      <c r="B1020" s="1000"/>
      <c r="C1020" s="1000"/>
      <c r="D1020" s="1319"/>
      <c r="E1020" s="1319"/>
      <c r="F1020" s="1319"/>
      <c r="G1020" s="1001"/>
      <c r="I1020" s="490"/>
    </row>
    <row r="1021" spans="1:9" ht="12.75" customHeight="1">
      <c r="A1021" s="1000"/>
      <c r="B1021" s="1000"/>
      <c r="C1021" s="1000"/>
      <c r="D1021" s="984"/>
      <c r="E1021" s="1001"/>
      <c r="F1021" s="1001"/>
      <c r="G1021" s="1001"/>
      <c r="I1021" s="490"/>
    </row>
    <row r="1022" spans="1:9" ht="12.75" customHeight="1">
      <c r="A1022" s="254"/>
      <c r="B1022" s="485" t="s">
        <v>2745</v>
      </c>
      <c r="C1022" s="1000"/>
      <c r="D1022" s="1326" t="s">
        <v>1795</v>
      </c>
      <c r="E1022" s="1326"/>
      <c r="F1022" s="1326"/>
      <c r="G1022" s="1001"/>
      <c r="I1022" s="490"/>
    </row>
    <row r="1023" spans="1:9" ht="12.75" customHeight="1">
      <c r="A1023" s="1000"/>
      <c r="B1023" s="1000"/>
      <c r="C1023" s="1000"/>
      <c r="D1023" s="984"/>
      <c r="E1023" s="1001"/>
      <c r="F1023" s="1001"/>
      <c r="G1023" s="1001"/>
      <c r="I1023" s="490"/>
    </row>
    <row r="1024" spans="1:9" ht="12.75" customHeight="1">
      <c r="A1024" s="175"/>
      <c r="B1024" s="485" t="s">
        <v>2746</v>
      </c>
      <c r="C1024" s="354"/>
      <c r="D1024" s="1303" t="s">
        <v>1796</v>
      </c>
      <c r="E1024" s="1303"/>
      <c r="F1024" s="1303"/>
      <c r="G1024" s="3"/>
      <c r="I1024" s="490"/>
    </row>
    <row r="1025" spans="1:9" ht="12.75" customHeight="1">
      <c r="A1025" s="175"/>
      <c r="B1025" s="175"/>
      <c r="C1025" s="354"/>
      <c r="D1025" s="118"/>
      <c r="E1025" s="3"/>
      <c r="F1025" s="3"/>
      <c r="G1025" s="3"/>
      <c r="I1025" s="490"/>
    </row>
    <row r="1026" spans="1:9" ht="12.75" customHeight="1">
      <c r="A1026" s="175"/>
      <c r="B1026" s="485" t="s">
        <v>2746</v>
      </c>
      <c r="C1026" s="354"/>
      <c r="D1026" s="1263" t="s">
        <v>1797</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312" t="s">
        <v>1798</v>
      </c>
      <c r="B1029" s="1312"/>
      <c r="C1029" s="1312"/>
      <c r="D1029" s="1312"/>
      <c r="E1029" s="1312"/>
      <c r="F1029" s="1312"/>
      <c r="G1029" s="1312"/>
      <c r="H1029" s="1028"/>
      <c r="I1029" s="1153"/>
    </row>
    <row r="1030" spans="1:9" ht="12.75" customHeight="1">
      <c r="A1030" s="354"/>
      <c r="B1030" s="354"/>
      <c r="C1030" s="354"/>
      <c r="D1030" s="3"/>
      <c r="E1030" s="3"/>
      <c r="F1030" s="3"/>
      <c r="G1030" s="3"/>
      <c r="I1030" s="490"/>
    </row>
    <row r="1031" spans="1:9" ht="12.75" customHeight="1">
      <c r="A1031" s="354"/>
      <c r="B1031" s="354"/>
      <c r="C1031" s="354"/>
      <c r="D1031" s="1328" t="s">
        <v>1799</v>
      </c>
      <c r="E1031" s="1328"/>
      <c r="F1031" s="1328"/>
      <c r="G1031" s="3"/>
      <c r="I1031" s="490"/>
    </row>
    <row r="1032" spans="1:9" ht="12.75" customHeight="1">
      <c r="A1032" s="354"/>
      <c r="B1032" s="354"/>
      <c r="C1032" s="354"/>
      <c r="D1032" s="1326" t="s">
        <v>1800</v>
      </c>
      <c r="E1032" s="1326"/>
      <c r="F1032" s="1326"/>
      <c r="G1032" s="3"/>
      <c r="I1032" s="490"/>
    </row>
    <row r="1033" spans="1:9" ht="12.75" customHeight="1">
      <c r="A1033" s="172"/>
      <c r="B1033" s="172"/>
      <c r="C1033" s="172"/>
      <c r="D1033" s="3"/>
      <c r="E1033" s="3"/>
      <c r="F1033" s="3"/>
      <c r="G1033" s="3"/>
      <c r="I1033" s="490"/>
    </row>
    <row r="1034" spans="1:9" ht="12.75" customHeight="1">
      <c r="A1034" s="175"/>
      <c r="B1034" s="175"/>
      <c r="C1034" s="174"/>
      <c r="D1034" s="1328" t="s">
        <v>1814</v>
      </c>
      <c r="E1034" s="1328"/>
      <c r="F1034" s="1328"/>
      <c r="G1034" s="3"/>
      <c r="I1034" s="490"/>
    </row>
    <row r="1035" spans="1:9" ht="12.75" customHeight="1">
      <c r="A1035" s="354"/>
      <c r="B1035" s="485" t="s">
        <v>2745</v>
      </c>
      <c r="C1035" s="354"/>
      <c r="D1035" s="1326" t="s">
        <v>1272</v>
      </c>
      <c r="E1035" s="1326"/>
      <c r="F1035" s="1326"/>
      <c r="G1035" s="3"/>
      <c r="I1035" s="490"/>
    </row>
    <row r="1036" spans="1:9" ht="12.75" customHeight="1">
      <c r="A1036" s="354"/>
      <c r="B1036" s="175"/>
      <c r="C1036" s="354"/>
      <c r="D1036" s="1326" t="s">
        <v>1801</v>
      </c>
      <c r="E1036" s="1326"/>
      <c r="F1036" s="1326"/>
      <c r="G1036" s="3"/>
      <c r="I1036" s="490"/>
    </row>
    <row r="1037" spans="1:9" ht="12.75" customHeight="1">
      <c r="A1037" s="354"/>
      <c r="B1037" s="354"/>
      <c r="C1037" s="354"/>
      <c r="D1037" s="1326"/>
      <c r="E1037" s="1326"/>
      <c r="F1037" s="1326"/>
      <c r="G1037" s="3"/>
      <c r="I1037" s="490"/>
    </row>
    <row r="1038" spans="1:9" ht="12.75" customHeight="1">
      <c r="A1038" s="1312" t="s">
        <v>1810</v>
      </c>
      <c r="B1038" s="1312"/>
      <c r="C1038" s="1312"/>
      <c r="D1038" s="1312"/>
      <c r="E1038" s="1312"/>
      <c r="F1038" s="1312"/>
      <c r="G1038" s="1312"/>
      <c r="H1038" s="1028"/>
      <c r="I1038" s="1153"/>
    </row>
    <row r="1039" spans="1:9" ht="12.75" customHeight="1">
      <c r="A1039" s="118"/>
      <c r="B1039" s="118"/>
      <c r="C1039" s="354"/>
      <c r="D1039" s="3"/>
      <c r="E1039" s="3"/>
      <c r="F1039" s="3"/>
      <c r="G1039" s="3"/>
      <c r="I1039" s="490"/>
    </row>
    <row r="1040" spans="1:9" ht="12.75" hidden="1" customHeight="1">
      <c r="A1040" s="118"/>
      <c r="B1040" s="402"/>
      <c r="D1040" s="1333" t="s">
        <v>1273</v>
      </c>
      <c r="E1040" s="1333"/>
      <c r="F1040" s="1333"/>
      <c r="G1040" s="3"/>
      <c r="I1040" s="490"/>
    </row>
    <row r="1041" spans="1:9" ht="12.75" hidden="1" customHeight="1">
      <c r="A1041" s="118"/>
      <c r="B1041" s="485" t="s">
        <v>307</v>
      </c>
      <c r="D1041" s="1295" t="s">
        <v>1272</v>
      </c>
      <c r="E1041" s="1295"/>
      <c r="F1041" s="1295"/>
      <c r="G1041" s="3"/>
      <c r="I1041" s="490"/>
    </row>
    <row r="1042" spans="1:9" ht="12.75" hidden="1" customHeight="1">
      <c r="A1042" s="118"/>
      <c r="B1042" s="402"/>
      <c r="D1042" s="1295" t="s">
        <v>1811</v>
      </c>
      <c r="E1042" s="1295"/>
      <c r="F1042" s="1295"/>
      <c r="G1042" s="3"/>
      <c r="I1042" s="490"/>
    </row>
    <row r="1043" spans="1:9" ht="12.75" hidden="1" customHeight="1">
      <c r="A1043" s="118"/>
      <c r="B1043" s="402"/>
      <c r="D1043" s="444"/>
      <c r="E1043" s="444"/>
      <c r="F1043" s="444"/>
      <c r="G1043" s="3"/>
      <c r="I1043" s="490"/>
    </row>
    <row r="1044" spans="1:9" ht="12.75" customHeight="1">
      <c r="A1044" s="118"/>
      <c r="B1044" s="118"/>
      <c r="C1044" s="354"/>
      <c r="D1044" s="1334" t="s">
        <v>1067</v>
      </c>
      <c r="E1044" s="1334"/>
      <c r="F1044" s="1334"/>
      <c r="G1044" s="3"/>
      <c r="I1044" s="490"/>
    </row>
    <row r="1045" spans="1:9" ht="12.75" customHeight="1">
      <c r="A1045" s="319"/>
      <c r="B1045" s="319"/>
      <c r="C1045" s="319"/>
      <c r="D1045" s="1304" t="s">
        <v>2250</v>
      </c>
      <c r="E1045" s="1304"/>
      <c r="F1045" s="1304"/>
      <c r="G1045" s="98"/>
      <c r="I1045" s="490"/>
    </row>
    <row r="1046" spans="1:9" ht="12.75" customHeight="1">
      <c r="A1046" s="175"/>
      <c r="B1046" s="485" t="s">
        <v>2746</v>
      </c>
      <c r="C1046" s="354"/>
      <c r="D1046" s="1304" t="s">
        <v>986</v>
      </c>
      <c r="E1046" s="1304"/>
      <c r="F1046" s="1304"/>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12" t="s">
        <v>1831</v>
      </c>
      <c r="B1049" s="1312"/>
      <c r="C1049" s="1312"/>
      <c r="D1049" s="1312"/>
      <c r="E1049" s="1312"/>
      <c r="F1049" s="1312"/>
      <c r="G1049" s="1312"/>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2746</v>
      </c>
      <c r="C1054" s="402"/>
      <c r="D1054" s="1330" t="s">
        <v>1815</v>
      </c>
      <c r="E1054" s="1330"/>
      <c r="F1054" s="1330"/>
      <c r="I1054" s="490"/>
    </row>
    <row r="1055" spans="1:9">
      <c r="A1055" s="402"/>
      <c r="B1055" s="402"/>
      <c r="C1055" s="402"/>
      <c r="D1055" s="1330"/>
      <c r="E1055" s="1330"/>
      <c r="F1055" s="1330"/>
      <c r="I1055" s="490"/>
    </row>
    <row r="1056" spans="1:9">
      <c r="A1056" s="402"/>
      <c r="B1056" s="402"/>
      <c r="C1056" s="402"/>
      <c r="D1056" s="1330"/>
      <c r="E1056" s="1330"/>
      <c r="F1056" s="1330"/>
      <c r="I1056" s="490"/>
    </row>
    <row r="1057" spans="1:9">
      <c r="A1057" s="402"/>
      <c r="B1057" s="402"/>
      <c r="C1057" s="402"/>
      <c r="D1057" s="1330"/>
      <c r="E1057" s="1330"/>
      <c r="F1057" s="1330"/>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2745</v>
      </c>
      <c r="C1062" s="402"/>
      <c r="D1062" s="402" t="s">
        <v>1813</v>
      </c>
      <c r="I1062" s="490"/>
    </row>
    <row r="1063" spans="1:9">
      <c r="A1063" s="402"/>
      <c r="B1063" s="402"/>
      <c r="C1063" s="402"/>
      <c r="I1063" s="490"/>
    </row>
    <row r="1064" spans="1:9">
      <c r="A1064" s="402"/>
      <c r="B1064" s="485" t="s">
        <v>2746</v>
      </c>
      <c r="C1064" s="402"/>
      <c r="D1064" s="1330" t="s">
        <v>1819</v>
      </c>
      <c r="E1064" s="1330"/>
      <c r="F1064" s="1330"/>
      <c r="I1064" s="490"/>
    </row>
    <row r="1065" spans="1:9">
      <c r="A1065" s="402"/>
      <c r="B1065" s="402"/>
      <c r="C1065" s="402"/>
      <c r="D1065" s="1330"/>
      <c r="E1065" s="1330"/>
      <c r="F1065" s="1330"/>
      <c r="I1065" s="490"/>
    </row>
    <row r="1066" spans="1:9">
      <c r="A1066" s="402"/>
      <c r="B1066" s="402"/>
      <c r="C1066" s="402"/>
      <c r="D1066" s="1330"/>
      <c r="E1066" s="1330"/>
      <c r="F1066" s="1330"/>
      <c r="I1066" s="490"/>
    </row>
    <row r="1067" spans="1:9">
      <c r="A1067" s="402"/>
      <c r="B1067" s="402"/>
      <c r="C1067" s="402"/>
      <c r="D1067" s="1330"/>
      <c r="E1067" s="1330"/>
      <c r="F1067" s="1330"/>
      <c r="I1067" s="490"/>
    </row>
    <row r="1068" spans="1:9">
      <c r="A1068" s="402"/>
      <c r="B1068" s="402"/>
      <c r="C1068" s="402"/>
      <c r="D1068" s="1330"/>
      <c r="E1068" s="1330"/>
      <c r="F1068" s="1330"/>
      <c r="I1068" s="490"/>
    </row>
    <row r="1069" spans="1:9">
      <c r="A1069" s="402"/>
      <c r="B1069" s="402"/>
      <c r="C1069" s="402"/>
      <c r="I1069" s="490"/>
    </row>
    <row r="1070" spans="1:9">
      <c r="A1070" s="1312" t="s">
        <v>1820</v>
      </c>
      <c r="B1070" s="1312"/>
      <c r="C1070" s="1312"/>
      <c r="D1070" s="1312"/>
      <c r="E1070" s="1312"/>
      <c r="F1070" s="1312"/>
      <c r="G1070" s="1312"/>
      <c r="H1070" s="1028"/>
      <c r="I1070" s="1153"/>
    </row>
    <row r="1071" spans="1:9">
      <c r="A1071" s="402"/>
      <c r="B1071" s="402"/>
      <c r="C1071" s="402"/>
      <c r="I1071" s="490"/>
    </row>
    <row r="1072" spans="1:9">
      <c r="A1072" s="402"/>
      <c r="B1072" s="402"/>
      <c r="C1072" s="402"/>
      <c r="I1072" s="490"/>
    </row>
    <row r="1073" spans="1:9">
      <c r="A1073" s="402"/>
      <c r="B1073" s="485" t="s">
        <v>2745</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2746</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2746</v>
      </c>
      <c r="C1079" s="402"/>
      <c r="D1079" s="119" t="s">
        <v>1829</v>
      </c>
      <c r="I1079" s="490"/>
    </row>
    <row r="1080" spans="1:9">
      <c r="A1080" s="402"/>
      <c r="B1080" s="402"/>
      <c r="C1080" s="402"/>
      <c r="D1080" s="1263" t="s">
        <v>1830</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2746</v>
      </c>
      <c r="C1087" s="402"/>
      <c r="D1087" s="1329" t="s">
        <v>1822</v>
      </c>
      <c r="E1087" s="1329"/>
      <c r="F1087" s="1329"/>
      <c r="I1087" s="490"/>
    </row>
    <row r="1088" spans="1:9">
      <c r="A1088" s="402"/>
      <c r="B1088" s="402"/>
      <c r="C1088" s="402"/>
      <c r="D1088" s="1329"/>
      <c r="E1088" s="1329"/>
      <c r="F1088" s="1329"/>
      <c r="I1088" s="490"/>
    </row>
    <row r="1089" spans="1:9">
      <c r="A1089" s="402"/>
      <c r="B1089" s="402"/>
      <c r="C1089" s="402"/>
      <c r="D1089" s="1329"/>
      <c r="E1089" s="1329"/>
      <c r="F1089" s="1329"/>
      <c r="I1089" s="490"/>
    </row>
    <row r="1090" spans="1:9">
      <c r="A1090" s="402"/>
      <c r="B1090" s="402"/>
      <c r="C1090" s="402"/>
      <c r="D1090" s="1329"/>
      <c r="E1090" s="1329"/>
      <c r="F1090" s="1329"/>
      <c r="I1090" s="490"/>
    </row>
    <row r="1091" spans="1:9">
      <c r="A1091" s="402"/>
      <c r="B1091" s="402"/>
      <c r="C1091" s="402"/>
      <c r="D1091" s="1329"/>
      <c r="E1091" s="1329"/>
      <c r="F1091" s="1329"/>
      <c r="I1091" s="490"/>
    </row>
    <row r="1092" spans="1:9">
      <c r="A1092" s="402"/>
      <c r="B1092" s="402"/>
      <c r="C1092" s="402"/>
      <c r="D1092" s="527" t="s">
        <v>1827</v>
      </c>
      <c r="I1092" s="490"/>
    </row>
    <row r="1093" spans="1:9">
      <c r="A1093" s="402"/>
      <c r="B1093" s="402"/>
      <c r="C1093" s="402"/>
      <c r="I1093" s="490"/>
    </row>
    <row r="1094" spans="1:9">
      <c r="A1094" s="402"/>
      <c r="B1094" s="485" t="s">
        <v>2746</v>
      </c>
      <c r="C1094" s="402"/>
      <c r="D1094" s="1279" t="s">
        <v>2283</v>
      </c>
      <c r="E1094" s="1279"/>
      <c r="F1094" s="1279"/>
      <c r="I1094" s="490"/>
    </row>
    <row r="1095" spans="1:9">
      <c r="A1095" s="402"/>
      <c r="B1095" s="402"/>
      <c r="C1095" s="402"/>
      <c r="D1095" s="1279"/>
      <c r="E1095" s="1279"/>
      <c r="F1095" s="1279"/>
      <c r="I1095" s="490"/>
    </row>
    <row r="1096" spans="1:9">
      <c r="A1096" s="402"/>
      <c r="B1096" s="402"/>
      <c r="C1096" s="402"/>
      <c r="D1096" s="1279"/>
      <c r="E1096" s="1279"/>
      <c r="F1096" s="1279"/>
      <c r="I1096" s="490"/>
    </row>
    <row r="1097" spans="1:9">
      <c r="A1097" s="402"/>
      <c r="B1097" s="402"/>
      <c r="C1097" s="402"/>
      <c r="I1097" s="490"/>
    </row>
    <row r="1098" spans="1:9">
      <c r="A1098" s="1312" t="s">
        <v>1832</v>
      </c>
      <c r="B1098" s="1312"/>
      <c r="C1098" s="1312"/>
      <c r="D1098" s="1312"/>
      <c r="E1098" s="1312"/>
      <c r="F1098" s="1312"/>
      <c r="G1098" s="1312"/>
      <c r="H1098" s="1028"/>
      <c r="I1098" s="1153"/>
    </row>
    <row r="1099" spans="1:9">
      <c r="A1099" s="402"/>
      <c r="B1099" s="402"/>
      <c r="C1099" s="402"/>
      <c r="I1099" s="490"/>
    </row>
    <row r="1100" spans="1:9">
      <c r="A1100" s="402"/>
      <c r="B1100" s="402"/>
      <c r="C1100" s="402"/>
      <c r="I1100" s="490"/>
    </row>
    <row r="1101" spans="1:9" ht="12.75" customHeight="1">
      <c r="A1101" s="402"/>
      <c r="B1101" s="485" t="s">
        <v>2746</v>
      </c>
      <c r="C1101" s="402"/>
      <c r="D1101" s="1331" t="s">
        <v>1931</v>
      </c>
      <c r="E1101" s="1331"/>
      <c r="F1101" s="1331"/>
      <c r="I1101" s="490"/>
    </row>
    <row r="1102" spans="1:9">
      <c r="A1102" s="402"/>
      <c r="B1102" s="402"/>
      <c r="C1102" s="402"/>
      <c r="D1102" s="1331"/>
      <c r="E1102" s="1331"/>
      <c r="F1102" s="1331"/>
      <c r="I1102" s="490"/>
    </row>
    <row r="1103" spans="1:9">
      <c r="A1103" s="402"/>
      <c r="B1103" s="402"/>
      <c r="C1103" s="402"/>
      <c r="D1103" s="1332" t="s">
        <v>2145</v>
      </c>
      <c r="E1103" s="1263"/>
      <c r="F1103" s="1263"/>
      <c r="I1103" s="490"/>
    </row>
    <row r="1104" spans="1:9">
      <c r="A1104" s="402"/>
      <c r="B1104" s="402"/>
      <c r="C1104" s="402"/>
      <c r="D1104" s="527"/>
      <c r="I1104" s="490"/>
    </row>
    <row r="1105" spans="1:9">
      <c r="A1105" s="402"/>
      <c r="B1105" s="485" t="s">
        <v>2746</v>
      </c>
      <c r="C1105" s="402"/>
      <c r="D1105" s="1329" t="s">
        <v>1833</v>
      </c>
      <c r="E1105" s="1329"/>
      <c r="F1105" s="1329"/>
      <c r="I1105" s="490"/>
    </row>
    <row r="1106" spans="1:9">
      <c r="A1106" s="402"/>
      <c r="B1106" s="402"/>
      <c r="C1106" s="402"/>
      <c r="D1106" s="1329"/>
      <c r="E1106" s="1329"/>
      <c r="F1106" s="1329"/>
      <c r="I1106" s="490"/>
    </row>
    <row r="1107" spans="1:9">
      <c r="A1107" s="402"/>
      <c r="B1107" s="402"/>
      <c r="C1107" s="402"/>
      <c r="D1107" s="527"/>
      <c r="I1107" s="490"/>
    </row>
    <row r="1108" spans="1:9">
      <c r="A1108" s="402"/>
      <c r="B1108" s="485" t="s">
        <v>2746</v>
      </c>
      <c r="C1108" s="402"/>
      <c r="D1108" s="1329" t="s">
        <v>1889</v>
      </c>
      <c r="E1108" s="1329"/>
      <c r="F1108" s="1329"/>
      <c r="I1108" s="490"/>
    </row>
    <row r="1109" spans="1:9">
      <c r="A1109" s="402"/>
      <c r="B1109" s="402"/>
      <c r="C1109" s="402"/>
      <c r="D1109" s="1329"/>
      <c r="E1109" s="1329"/>
      <c r="F1109" s="1329"/>
      <c r="I1109" s="490"/>
    </row>
    <row r="1110" spans="1:9">
      <c r="A1110" s="402"/>
      <c r="B1110" s="402"/>
      <c r="C1110" s="402"/>
      <c r="D1110" s="1329"/>
      <c r="E1110" s="1329"/>
      <c r="F1110" s="1329"/>
      <c r="I1110" s="490"/>
    </row>
    <row r="1111" spans="1:9">
      <c r="A1111" s="402"/>
      <c r="B1111" s="402"/>
      <c r="C1111" s="402"/>
      <c r="D1111" s="1329"/>
      <c r="E1111" s="1329"/>
      <c r="F1111" s="1329"/>
      <c r="I1111" s="490"/>
    </row>
    <row r="1112" spans="1:9">
      <c r="A1112" s="402"/>
      <c r="B1112" s="402"/>
      <c r="C1112" s="402"/>
      <c r="D1112" s="1329"/>
      <c r="E1112" s="1329"/>
      <c r="F1112" s="1329"/>
      <c r="I1112" s="490"/>
    </row>
    <row r="1113" spans="1:9">
      <c r="A1113" s="402"/>
      <c r="B1113" s="402"/>
      <c r="C1113" s="402"/>
      <c r="D1113" s="1329"/>
      <c r="E1113" s="1329"/>
      <c r="F1113" s="1329"/>
      <c r="I1113" s="490"/>
    </row>
    <row r="1114" spans="1:9" ht="12.5">
      <c r="A1114" s="402"/>
      <c r="B1114" s="402"/>
      <c r="C1114" s="402"/>
      <c r="D1114" s="527"/>
      <c r="I1114" s="480"/>
    </row>
    <row r="1115" spans="1:9">
      <c r="A1115" s="402"/>
      <c r="B1115" s="485" t="s">
        <v>2746</v>
      </c>
      <c r="C1115" s="402"/>
      <c r="D1115" s="1329" t="s">
        <v>1834</v>
      </c>
      <c r="E1115" s="1329"/>
      <c r="F1115" s="1329"/>
      <c r="I1115" s="490"/>
    </row>
    <row r="1116" spans="1:9">
      <c r="A1116" s="402"/>
      <c r="B1116" s="402"/>
      <c r="C1116" s="402"/>
      <c r="D1116" s="1329"/>
      <c r="E1116" s="1329"/>
      <c r="F1116" s="1329"/>
      <c r="I1116" s="490"/>
    </row>
    <row r="1117" spans="1:9">
      <c r="A1117" s="402"/>
      <c r="B1117" s="402"/>
      <c r="C1117" s="402"/>
      <c r="D1117" s="1329"/>
      <c r="E1117" s="1329"/>
      <c r="F1117" s="1329"/>
      <c r="I1117" s="490"/>
    </row>
    <row r="1118" spans="1:9">
      <c r="A1118" s="402"/>
      <c r="B1118" s="402"/>
      <c r="C1118" s="402"/>
      <c r="D1118" s="527"/>
      <c r="I1118" s="490"/>
    </row>
    <row r="1119" spans="1:9">
      <c r="A1119" s="402"/>
      <c r="B1119" s="485" t="s">
        <v>2745</v>
      </c>
      <c r="C1119" s="402"/>
      <c r="D1119" s="1269" t="s">
        <v>1890</v>
      </c>
      <c r="E1119" s="1269"/>
      <c r="F1119" s="1269"/>
      <c r="I1119" s="490"/>
    </row>
    <row r="1120" spans="1:9">
      <c r="A1120" s="402"/>
      <c r="B1120" s="402"/>
      <c r="C1120" s="402"/>
      <c r="D1120" s="1269"/>
      <c r="E1120" s="1269"/>
      <c r="F1120" s="1269"/>
      <c r="I1120" s="490"/>
    </row>
    <row r="1121" spans="1:9">
      <c r="A1121" s="402"/>
      <c r="B1121" s="402"/>
      <c r="C1121" s="402"/>
      <c r="D1121" s="1269"/>
      <c r="E1121" s="1269"/>
      <c r="F1121" s="1269"/>
      <c r="I1121" s="490"/>
    </row>
    <row r="1122" spans="1:9">
      <c r="A1122" s="402"/>
      <c r="B1122" s="402"/>
      <c r="C1122" s="402"/>
      <c r="D1122" s="980"/>
      <c r="E1122" s="980"/>
      <c r="F1122" s="980"/>
      <c r="I1122" s="490"/>
    </row>
    <row r="1123" spans="1:9" ht="15.75" customHeight="1">
      <c r="A1123" s="402"/>
      <c r="B1123" s="485" t="s">
        <v>2746</v>
      </c>
      <c r="C1123" s="402"/>
      <c r="D1123" s="1263" t="s">
        <v>1891</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4"/>
      <c r="H1541" s="1294"/>
      <c r="I1541" s="129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27" zoomScaleNormal="100" workbookViewId="0">
      <selection activeCell="AO945" sqref="AO945"/>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2499</v>
      </c>
      <c r="BE1" s="3"/>
      <c r="BF1" s="3"/>
    </row>
    <row r="2" spans="1:58" ht="13" customHeight="1">
      <c r="BD2" s="3" t="s">
        <v>2500</v>
      </c>
      <c r="BE2" s="3" t="s">
        <v>2501</v>
      </c>
      <c r="BF2" s="3" t="s">
        <v>2502</v>
      </c>
    </row>
    <row r="3" spans="1:58" ht="13" customHeight="1">
      <c r="BD3" s="3" t="s">
        <v>2597</v>
      </c>
      <c r="BE3" t="str">
        <f>AC220</f>
        <v xml:space="preserve">Coastal (Monterey, Napa, Orange, San Benito, San Diego, San Luis Obispo, Santa Barbara, Sonoma, and Ventura Counties) </v>
      </c>
    </row>
    <row r="4" spans="1:58" ht="13" customHeight="1">
      <c r="BD4" s="3" t="s">
        <v>2509</v>
      </c>
      <c r="BE4" s="1246"/>
    </row>
    <row r="5" spans="1:58" ht="13" customHeight="1">
      <c r="BD5" s="3" t="s">
        <v>2510</v>
      </c>
      <c r="BE5">
        <f>SUMIF($AC$718:$AC$752,"&lt;=20%",$G$718:G$752)</f>
        <v>0</v>
      </c>
      <c r="BF5" s="3" t="s">
        <v>2515</v>
      </c>
    </row>
    <row r="6" spans="1:58" ht="13" customHeight="1">
      <c r="BD6" s="3" t="s">
        <v>2511</v>
      </c>
      <c r="BE6" s="1249">
        <f>SUMIF($AC$718:$AC$752,"&lt;=25%",$G$718:G$752)-SUM($BE$5:BE5)</f>
        <v>0</v>
      </c>
    </row>
    <row r="7" spans="1:58" ht="13" customHeight="1">
      <c r="BD7" s="1247" t="s">
        <v>2503</v>
      </c>
      <c r="BE7" s="1249">
        <f>SUMIF($AC$718:$AC$752,"&lt;=30%",$G$718:G$752)-SUM($BE$5:BE6)</f>
        <v>11</v>
      </c>
    </row>
    <row r="8" spans="1:58"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898"/>
      <c r="AV8" s="898"/>
      <c r="AW8" s="898"/>
      <c r="AX8" s="898"/>
      <c r="AY8" s="898"/>
      <c r="BD8" s="3" t="s">
        <v>2512</v>
      </c>
      <c r="BE8" s="1249">
        <f>SUMIF($AC$718:$AC$752,"&lt;=35%",$G$718:G$752)-SUM($BE$5:BE7)</f>
        <v>0</v>
      </c>
    </row>
    <row r="9" spans="1:58" ht="13" customHeight="1">
      <c r="A9" s="1841" t="s">
        <v>2078</v>
      </c>
      <c r="B9" s="1841"/>
      <c r="C9" s="1841"/>
      <c r="D9" s="1841"/>
      <c r="E9" s="1841"/>
      <c r="F9" s="1841"/>
      <c r="G9" s="1841"/>
      <c r="H9" s="1841"/>
      <c r="I9" s="1841"/>
      <c r="J9" s="1841"/>
      <c r="K9" s="1841"/>
      <c r="L9" s="1841"/>
      <c r="M9" s="1841"/>
      <c r="N9" s="1841"/>
      <c r="O9" s="1841"/>
      <c r="P9" s="1841"/>
      <c r="Q9" s="1841"/>
      <c r="R9" s="1841"/>
      <c r="S9" s="1841"/>
      <c r="T9" s="1841"/>
      <c r="U9" s="1841"/>
      <c r="V9" s="1841"/>
      <c r="W9" s="1841"/>
      <c r="X9" s="1841"/>
      <c r="Y9" s="1841"/>
      <c r="Z9" s="1841"/>
      <c r="AA9" s="1841"/>
      <c r="AB9" s="1841"/>
      <c r="AC9" s="1841"/>
      <c r="AD9" s="1841"/>
      <c r="AE9" s="1841"/>
      <c r="AF9" s="1841"/>
      <c r="AG9" s="1841"/>
      <c r="AH9" s="1841"/>
      <c r="AI9" s="1841"/>
      <c r="AJ9" s="1841"/>
      <c r="AK9" s="1841"/>
      <c r="AL9" s="1841"/>
      <c r="AM9" s="1841"/>
      <c r="AN9" s="1841"/>
      <c r="AO9" s="1841"/>
      <c r="AP9" s="1841"/>
      <c r="AQ9" s="1841"/>
      <c r="AR9" s="1841"/>
      <c r="AS9" s="1841"/>
      <c r="AT9" s="1841"/>
      <c r="AU9" s="13"/>
      <c r="AV9" s="13"/>
      <c r="AW9" s="13"/>
      <c r="AX9" s="13"/>
      <c r="AY9" s="13"/>
      <c r="BD9" s="1248" t="s">
        <v>2504</v>
      </c>
      <c r="BE9" s="1249">
        <f>SUMIF($AC$718:$AC$752,"&lt;=40%",$G$718:G$752)-SUM($BE$5:BE8)</f>
        <v>0</v>
      </c>
    </row>
    <row r="10" spans="1:58" ht="13" customHeight="1">
      <c r="A10" s="1841" t="s">
        <v>2461</v>
      </c>
      <c r="B10" s="1841"/>
      <c r="C10" s="1841"/>
      <c r="D10" s="1841"/>
      <c r="E10" s="1841"/>
      <c r="F10" s="1841"/>
      <c r="G10" s="1841"/>
      <c r="H10" s="1841"/>
      <c r="I10" s="1841"/>
      <c r="J10" s="1841"/>
      <c r="K10" s="1841"/>
      <c r="L10" s="1841"/>
      <c r="M10" s="1841"/>
      <c r="N10" s="1841"/>
      <c r="O10" s="1841"/>
      <c r="P10" s="1841"/>
      <c r="Q10" s="1841"/>
      <c r="R10" s="1841"/>
      <c r="S10" s="1841"/>
      <c r="T10" s="1841"/>
      <c r="U10" s="1841"/>
      <c r="V10" s="1841"/>
      <c r="W10" s="1841"/>
      <c r="X10" s="1841"/>
      <c r="Y10" s="1841"/>
      <c r="Z10" s="1841"/>
      <c r="AA10" s="1841"/>
      <c r="AB10" s="1841"/>
      <c r="AC10" s="1841"/>
      <c r="AD10" s="1841"/>
      <c r="AE10" s="1841"/>
      <c r="AF10" s="1841"/>
      <c r="AG10" s="1841"/>
      <c r="AH10" s="1841"/>
      <c r="AI10" s="1841"/>
      <c r="AJ10" s="1841"/>
      <c r="AK10" s="1841"/>
      <c r="AL10" s="1841"/>
      <c r="AM10" s="1841"/>
      <c r="AN10" s="1841"/>
      <c r="AO10" s="1841"/>
      <c r="AP10" s="1841"/>
      <c r="AQ10" s="1841"/>
      <c r="AR10" s="1841"/>
      <c r="AS10" s="1841"/>
      <c r="AT10" s="1841"/>
      <c r="AU10" s="13"/>
      <c r="AV10" s="13"/>
      <c r="AW10" s="13"/>
      <c r="AX10" s="13"/>
      <c r="AY10" s="13"/>
      <c r="BD10" s="3" t="s">
        <v>2513</v>
      </c>
      <c r="BE10" s="1249">
        <f>SUMIF($AC$718:$AC$752,"&lt;=45%",$G$718:G$752)-SUM($BE$5:BE9)</f>
        <v>0</v>
      </c>
    </row>
    <row r="11" spans="1:58" ht="13" customHeight="1">
      <c r="A11" s="1841" t="s">
        <v>2607</v>
      </c>
      <c r="B11" s="1841"/>
      <c r="C11" s="1841"/>
      <c r="D11" s="1841"/>
      <c r="E11" s="1841"/>
      <c r="F11" s="1841"/>
      <c r="G11" s="1841"/>
      <c r="H11" s="1841"/>
      <c r="I11" s="1841"/>
      <c r="J11" s="1841"/>
      <c r="K11" s="1841"/>
      <c r="L11" s="1841"/>
      <c r="M11" s="1841"/>
      <c r="N11" s="1841"/>
      <c r="O11" s="1841"/>
      <c r="P11" s="1841"/>
      <c r="Q11" s="1841"/>
      <c r="R11" s="1841"/>
      <c r="S11" s="1841"/>
      <c r="T11" s="1841"/>
      <c r="U11" s="1841"/>
      <c r="V11" s="1841"/>
      <c r="W11" s="1841"/>
      <c r="X11" s="1841"/>
      <c r="Y11" s="1841"/>
      <c r="Z11" s="1841"/>
      <c r="AA11" s="1841"/>
      <c r="AB11" s="1841"/>
      <c r="AC11" s="1841"/>
      <c r="AD11" s="1841"/>
      <c r="AE11" s="1841"/>
      <c r="AF11" s="1841"/>
      <c r="AG11" s="1841"/>
      <c r="AH11" s="1841"/>
      <c r="AI11" s="1841"/>
      <c r="AJ11" s="1841"/>
      <c r="AK11" s="1841"/>
      <c r="AL11" s="1841"/>
      <c r="AM11" s="1841"/>
      <c r="AN11" s="1841"/>
      <c r="AO11" s="1841"/>
      <c r="AP11" s="1841"/>
      <c r="AQ11" s="1841"/>
      <c r="AR11" s="1841"/>
      <c r="AS11" s="1841"/>
      <c r="AT11" s="1841"/>
      <c r="AU11" s="13"/>
      <c r="AV11" s="13"/>
      <c r="AW11" s="13"/>
      <c r="AX11" s="13"/>
      <c r="AY11" s="13"/>
      <c r="BD11" s="1247" t="s">
        <v>2505</v>
      </c>
      <c r="BE11" s="1249">
        <f>SUMIF($AC$718:$AC$752,"&lt;=50%",$G$718:G$752)-SUM($BE$5:BE10)</f>
        <v>10</v>
      </c>
    </row>
    <row r="12" spans="1:58" ht="13" customHeight="1">
      <c r="A12" s="1842" t="s">
        <v>2612</v>
      </c>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6"/>
      <c r="AV12" s="6"/>
      <c r="AW12" s="6"/>
      <c r="AX12" s="6"/>
      <c r="AY12" s="6"/>
      <c r="BD12" s="3" t="s">
        <v>2514</v>
      </c>
      <c r="BE12" s="1249">
        <f>SUMIF($AC$718:$AC$752,"&lt;=55%",$G$718:G$752)-SUM($BE$5:BE11)</f>
        <v>0</v>
      </c>
    </row>
    <row r="13" spans="1:58" ht="13" customHeight="1">
      <c r="A13" s="1273" t="s">
        <v>2079</v>
      </c>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899"/>
      <c r="AV13" s="899"/>
      <c r="AW13" s="899"/>
      <c r="AX13" s="899"/>
      <c r="AY13" s="899"/>
      <c r="BD13" s="1248" t="s">
        <v>2506</v>
      </c>
      <c r="BE13" s="1249">
        <f>SUMIF($AC$718:$AC$752,"&lt;=60%",$G$718:G$752)-SUM($BE$5:BE12)</f>
        <v>68</v>
      </c>
    </row>
    <row r="14" spans="1:58" ht="13" customHeight="1">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899"/>
      <c r="AV14" s="899"/>
      <c r="AW14" s="899"/>
      <c r="AX14" s="899"/>
      <c r="AY14" s="899"/>
      <c r="BD14" s="1247" t="s">
        <v>2507</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3" customHeight="1">
      <c r="A16" s="57" t="s">
        <v>2080</v>
      </c>
      <c r="C16" s="4"/>
      <c r="D16" s="4"/>
      <c r="E16" s="4"/>
      <c r="F16" s="4"/>
      <c r="G16" s="4"/>
      <c r="H16" s="1546" t="s">
        <v>2613</v>
      </c>
      <c r="I16" s="1547"/>
      <c r="J16" s="1547"/>
      <c r="K16" s="1547"/>
      <c r="L16" s="1547"/>
      <c r="M16" s="1547"/>
      <c r="N16" s="1547"/>
      <c r="O16" s="1547"/>
      <c r="P16" s="1547"/>
      <c r="Q16" s="1547"/>
      <c r="R16" s="1547"/>
      <c r="S16" s="1547"/>
      <c r="T16" s="1547"/>
      <c r="U16" s="1547"/>
      <c r="V16" s="1547"/>
      <c r="W16" s="1547"/>
      <c r="X16" s="1547"/>
      <c r="Y16" s="1547"/>
      <c r="Z16" s="1547"/>
      <c r="AA16" s="1547"/>
      <c r="AB16" s="1547"/>
      <c r="AC16" s="1547"/>
      <c r="AD16" s="1547"/>
      <c r="AE16" s="1547"/>
      <c r="AF16" s="1547"/>
      <c r="AG16" s="1547"/>
      <c r="AH16" s="1547"/>
      <c r="AI16" s="1547"/>
      <c r="AJ16" s="1547"/>
      <c r="BD16" s="1248" t="s">
        <v>657</v>
      </c>
      <c r="BE16" s="1249" t="str">
        <f>Application!H18</f>
        <v>Mira Mesa</v>
      </c>
    </row>
    <row r="17" spans="1:58" ht="13" customHeight="1">
      <c r="BD17" s="1247" t="s">
        <v>2521</v>
      </c>
      <c r="BE17" s="1249">
        <f>Application!AA934</f>
        <v>0</v>
      </c>
    </row>
    <row r="18" spans="1:58" ht="13" customHeight="1">
      <c r="A18" s="57" t="s">
        <v>101</v>
      </c>
      <c r="C18" s="4"/>
      <c r="D18" s="4"/>
      <c r="E18" s="4"/>
      <c r="F18" s="4"/>
      <c r="G18" s="4"/>
      <c r="H18" s="1532" t="s">
        <v>2614</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3" customHeight="1">
      <c r="BD19" s="1247" t="s">
        <v>2523</v>
      </c>
      <c r="BE19" s="1249">
        <f>Application!M26</f>
        <v>2424689</v>
      </c>
    </row>
    <row r="20" spans="1:58" ht="13" customHeight="1">
      <c r="A20" s="1843" t="s">
        <v>874</v>
      </c>
      <c r="B20" s="1843"/>
      <c r="C20" s="1843"/>
      <c r="D20" s="1843"/>
      <c r="E20" s="1843"/>
      <c r="F20" s="1843"/>
      <c r="G20" s="1843"/>
      <c r="H20" s="1843"/>
      <c r="I20" s="1843"/>
      <c r="J20" s="1843"/>
      <c r="K20" s="1843"/>
      <c r="L20" s="1843"/>
      <c r="M20" s="1843"/>
      <c r="N20" s="1843"/>
      <c r="O20" s="1843"/>
      <c r="P20" s="1843"/>
      <c r="Q20" s="1843"/>
      <c r="R20" s="1843"/>
      <c r="S20" s="1843"/>
      <c r="T20" s="1843"/>
      <c r="U20" s="1843"/>
      <c r="V20" s="1843"/>
      <c r="W20" s="1843"/>
      <c r="X20" s="1843"/>
      <c r="Y20" s="1843"/>
      <c r="Z20" s="1843"/>
      <c r="AA20" s="1843"/>
      <c r="AB20" s="1843"/>
      <c r="AC20" s="1843"/>
      <c r="AD20" s="1843"/>
      <c r="AE20" s="1843"/>
      <c r="AF20" s="1843"/>
      <c r="AG20" s="1843"/>
      <c r="AH20" s="1843"/>
      <c r="AI20" s="1843"/>
      <c r="AJ20" s="1843"/>
      <c r="AK20" s="1843"/>
      <c r="AL20" s="1843"/>
      <c r="AM20" s="1843"/>
      <c r="AN20" s="1843"/>
      <c r="AO20" s="1843"/>
      <c r="AP20" s="1843"/>
      <c r="AQ20" s="1843"/>
      <c r="AR20" s="1843"/>
      <c r="AS20" s="1843"/>
      <c r="AT20" s="1843"/>
      <c r="AU20" s="900"/>
      <c r="AV20" s="900"/>
      <c r="AW20" s="900"/>
      <c r="AX20" s="900"/>
      <c r="AY20" s="900"/>
      <c r="BD20" s="1248" t="s">
        <v>2524</v>
      </c>
      <c r="BE20" s="1249">
        <f>Application!M27</f>
        <v>0</v>
      </c>
    </row>
    <row r="21" spans="1:58" ht="13" customHeight="1">
      <c r="A21" s="1846" t="s">
        <v>1010</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01"/>
      <c r="AN21" s="901"/>
      <c r="AO21" s="901"/>
      <c r="AP21" s="901"/>
      <c r="AQ21" s="901"/>
      <c r="AR21" s="901"/>
      <c r="AS21" s="901"/>
      <c r="AT21" s="901"/>
      <c r="AU21" s="901"/>
      <c r="AV21" s="901"/>
      <c r="AW21" s="901"/>
      <c r="AX21" s="901"/>
      <c r="AY21" s="901"/>
      <c r="BD21" s="1247" t="s">
        <v>2525</v>
      </c>
      <c r="BE21" s="1249">
        <f>Application!AM554</f>
        <v>25500000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49406004</v>
      </c>
      <c r="BF22" s="3" t="s">
        <v>2598</v>
      </c>
    </row>
    <row r="23" spans="1:58" ht="13" customHeight="1">
      <c r="A23" s="1331" t="s">
        <v>2148</v>
      </c>
      <c r="B23" s="1331"/>
      <c r="C23" s="1331"/>
      <c r="D23" s="1331"/>
      <c r="E23" s="1331"/>
      <c r="F23" s="1331"/>
      <c r="G23" s="1331"/>
      <c r="H23" s="1331"/>
      <c r="I23" s="1331"/>
      <c r="J23" s="1331"/>
      <c r="K23" s="1331"/>
      <c r="L23" s="1331"/>
      <c r="M23" s="1331"/>
      <c r="N23" s="1331"/>
      <c r="O23" s="1331"/>
      <c r="P23" s="1331"/>
      <c r="Q23" s="1331"/>
      <c r="R23" s="1331"/>
      <c r="S23" s="1331"/>
      <c r="T23" s="1331"/>
      <c r="U23" s="1331"/>
      <c r="V23" s="1331"/>
      <c r="W23" s="1331"/>
      <c r="X23" s="1331"/>
      <c r="Y23" s="1331"/>
      <c r="Z23" s="1331"/>
      <c r="AA23" s="1331"/>
      <c r="AB23" s="1331"/>
      <c r="AC23" s="1331"/>
      <c r="AD23" s="1331"/>
      <c r="AE23" s="1331"/>
      <c r="AF23" s="1331"/>
      <c r="AG23" s="1331"/>
      <c r="AH23" s="1331"/>
      <c r="AI23" s="1331"/>
      <c r="AJ23" s="1331"/>
      <c r="AK23" s="1331"/>
      <c r="AL23" s="1331"/>
      <c r="AM23" s="1331"/>
      <c r="AN23" s="1331"/>
      <c r="AO23" s="1331"/>
      <c r="AP23" s="1331"/>
      <c r="AQ23" s="1331"/>
      <c r="AR23" s="1331"/>
      <c r="AS23" s="1331"/>
      <c r="AT23" s="1331"/>
      <c r="AU23" s="18"/>
      <c r="AV23" s="18"/>
      <c r="AW23" s="18"/>
      <c r="AX23" s="18"/>
      <c r="AY23" s="18"/>
      <c r="AZ23" s="18"/>
      <c r="BD23" s="1247" t="s">
        <v>2526</v>
      </c>
      <c r="BE23" s="1249">
        <f>'Sources and Uses Budget'!B4</f>
        <v>1</v>
      </c>
    </row>
    <row r="24" spans="1:58" ht="13" customHeight="1">
      <c r="A24" s="1331"/>
      <c r="B24" s="1331"/>
      <c r="C24" s="1331"/>
      <c r="D24" s="1331"/>
      <c r="E24" s="1331"/>
      <c r="F24" s="1331"/>
      <c r="G24" s="1331"/>
      <c r="H24" s="1331"/>
      <c r="I24" s="1331"/>
      <c r="J24" s="1331"/>
      <c r="K24" s="1331"/>
      <c r="L24" s="1331"/>
      <c r="M24" s="1331"/>
      <c r="N24" s="1331"/>
      <c r="O24" s="1331"/>
      <c r="P24" s="1331"/>
      <c r="Q24" s="1331"/>
      <c r="R24" s="1331"/>
      <c r="S24" s="1331"/>
      <c r="T24" s="1331"/>
      <c r="U24" s="1331"/>
      <c r="V24" s="1331"/>
      <c r="W24" s="1331"/>
      <c r="X24" s="1331"/>
      <c r="Y24" s="1331"/>
      <c r="Z24" s="1331"/>
      <c r="AA24" s="1331"/>
      <c r="AB24" s="1331"/>
      <c r="AC24" s="1331"/>
      <c r="AD24" s="1331"/>
      <c r="AE24" s="1331"/>
      <c r="AF24" s="1331"/>
      <c r="AG24" s="1331"/>
      <c r="AH24" s="1331"/>
      <c r="AI24" s="1331"/>
      <c r="AJ24" s="1331"/>
      <c r="AK24" s="1331"/>
      <c r="AL24" s="1331"/>
      <c r="AM24" s="1331"/>
      <c r="AN24" s="1331"/>
      <c r="AO24" s="1331"/>
      <c r="AP24" s="1331"/>
      <c r="AQ24" s="1331"/>
      <c r="AR24" s="1331"/>
      <c r="AS24" s="1331"/>
      <c r="AT24" s="1331"/>
      <c r="AU24" s="18"/>
      <c r="AV24" s="18"/>
      <c r="AW24" s="18"/>
      <c r="AX24" s="18"/>
      <c r="AY24" s="18"/>
      <c r="AZ24" s="18"/>
      <c r="BD24" s="1248" t="s">
        <v>2527</v>
      </c>
      <c r="BE24" s="1249">
        <f>Application!AG450</f>
        <v>139039</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3" customHeight="1">
      <c r="A26" s="4"/>
      <c r="C26" s="4"/>
      <c r="D26" s="4"/>
      <c r="E26" s="4"/>
      <c r="F26" s="4"/>
      <c r="G26" s="4"/>
      <c r="H26" s="4"/>
      <c r="I26" s="4"/>
      <c r="J26" s="4"/>
      <c r="K26" s="4"/>
      <c r="L26" s="4"/>
      <c r="M26" s="1845">
        <f>'Basis &amp; Credits'!AB56</f>
        <v>2424689</v>
      </c>
      <c r="N26" s="1845"/>
      <c r="O26" s="1845"/>
      <c r="P26" s="1845"/>
      <c r="Q26" s="1845"/>
      <c r="R26" s="4" t="s">
        <v>760</v>
      </c>
      <c r="S26" s="4"/>
      <c r="T26" s="4"/>
      <c r="U26" s="4"/>
      <c r="V26" s="4"/>
      <c r="W26" s="4"/>
      <c r="X26" s="4"/>
      <c r="Y26" s="4"/>
      <c r="Z26" s="4"/>
      <c r="AF26" s="4"/>
      <c r="AG26" s="4"/>
      <c r="AH26" s="4"/>
      <c r="AI26" s="4"/>
      <c r="AJ26" s="4"/>
      <c r="AK26" s="4"/>
      <c r="BD26" s="1248" t="s">
        <v>1640</v>
      </c>
      <c r="BE26" s="1249" t="b">
        <f>Application!M356="Yes"</f>
        <v>0</v>
      </c>
    </row>
    <row r="27" spans="1:58" ht="13" customHeight="1">
      <c r="A27" s="4"/>
      <c r="C27" s="4"/>
      <c r="D27" s="4"/>
      <c r="E27" s="4"/>
      <c r="F27" s="4"/>
      <c r="G27" s="4"/>
      <c r="H27" s="4"/>
      <c r="I27" s="4"/>
      <c r="J27" s="4"/>
      <c r="K27" s="4"/>
      <c r="L27" s="4"/>
      <c r="M27" s="1362">
        <f>'Basis &amp; Credits'!AB78</f>
        <v>0</v>
      </c>
      <c r="N27" s="1362"/>
      <c r="O27" s="1362"/>
      <c r="P27" s="1362"/>
      <c r="Q27" s="1362"/>
      <c r="R27" s="3" t="s">
        <v>1268</v>
      </c>
      <c r="S27" s="4"/>
      <c r="T27" s="4"/>
      <c r="U27" s="4"/>
      <c r="V27" s="4"/>
      <c r="W27" s="4"/>
      <c r="X27" s="4"/>
      <c r="Y27" s="4"/>
      <c r="Z27" s="4"/>
      <c r="AF27" s="4"/>
      <c r="AG27" s="4"/>
      <c r="AH27" s="4"/>
      <c r="AI27" s="4"/>
      <c r="AJ27" s="4"/>
      <c r="AK27" s="4"/>
      <c r="BD27" s="1247" t="s">
        <v>2100</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3" customHeight="1">
      <c r="A29" s="1536" t="s">
        <v>2149</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2530</v>
      </c>
      <c r="BE29" s="1249" t="b">
        <f>Application!M358="Yes"</f>
        <v>0</v>
      </c>
    </row>
    <row r="30" spans="1:58" ht="13"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1</v>
      </c>
    </row>
    <row r="31" spans="1:58" ht="13"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2531</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3" customHeight="1">
      <c r="A33" s="519" t="s">
        <v>1279</v>
      </c>
      <c r="C33" s="519"/>
      <c r="D33" s="519"/>
      <c r="E33" s="519"/>
      <c r="F33" s="519"/>
      <c r="G33" s="519"/>
      <c r="H33" s="519"/>
      <c r="I33" s="519"/>
      <c r="J33" s="519"/>
      <c r="K33" s="519"/>
      <c r="L33" s="519"/>
      <c r="M33" s="519"/>
      <c r="N33" s="519"/>
      <c r="O33" s="1418" t="s">
        <v>670</v>
      </c>
      <c r="P33" s="1418"/>
      <c r="Q33" s="1844" t="s">
        <v>2150</v>
      </c>
      <c r="R33" s="1844"/>
      <c r="S33" s="1844"/>
      <c r="T33" s="1844"/>
      <c r="U33" s="1844"/>
      <c r="V33" s="1844"/>
      <c r="W33" s="1844"/>
      <c r="X33" s="1844"/>
      <c r="Y33" s="1844"/>
      <c r="Z33" s="1844"/>
      <c r="AA33" s="1844"/>
      <c r="AB33" s="1844"/>
      <c r="AC33" s="1844"/>
      <c r="AD33" s="1844"/>
      <c r="AE33" s="1844"/>
      <c r="AF33" s="1844"/>
      <c r="AG33" s="1844"/>
      <c r="AH33" s="1844"/>
      <c r="AI33" s="1844"/>
      <c r="AJ33" s="1844"/>
      <c r="AK33" s="1844"/>
      <c r="AL33" s="1844"/>
      <c r="AM33" s="1844"/>
      <c r="AN33" s="1844"/>
      <c r="AO33" s="1844"/>
      <c r="AP33" s="1844"/>
      <c r="AQ33" s="1844"/>
      <c r="AR33" s="1844"/>
      <c r="AS33" s="1844"/>
      <c r="AT33" s="1844"/>
      <c r="AU33" s="20"/>
      <c r="AV33" s="20"/>
      <c r="AW33" s="20"/>
      <c r="AX33" s="20"/>
      <c r="AY33" s="20"/>
      <c r="BD33" s="1247" t="s">
        <v>2599</v>
      </c>
      <c r="BE33" s="1249" t="str">
        <f>Application!D220</f>
        <v>San Diego County</v>
      </c>
    </row>
    <row r="34" spans="1:57" ht="13" customHeight="1">
      <c r="A34" s="1536" t="s">
        <v>2151</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2533</v>
      </c>
      <c r="BE34" s="1249" t="str">
        <f>Application!I185</f>
        <v>9999 Mira Mesa Blvd</v>
      </c>
    </row>
    <row r="35" spans="1:57" ht="13"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2534</v>
      </c>
      <c r="BE35" s="1249" t="str">
        <f>IF(Application!E187="","",Application!E187)</f>
        <v/>
      </c>
    </row>
    <row r="36" spans="1:57" ht="13"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2535</v>
      </c>
      <c r="BE36" s="1249" t="str">
        <f>Application!I189</f>
        <v>San Diego</v>
      </c>
    </row>
    <row r="37" spans="1:57" ht="13"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2536</v>
      </c>
      <c r="BE37" s="1249" t="str">
        <f>Application!T189</f>
        <v>San Diego</v>
      </c>
    </row>
    <row r="38" spans="1:57" ht="13" customHeight="1">
      <c r="A38" s="3"/>
      <c r="AZ38" s="20"/>
      <c r="BD38" s="1248" t="s">
        <v>2537</v>
      </c>
      <c r="BE38" s="1249">
        <f>Application!I190</f>
        <v>92131</v>
      </c>
    </row>
    <row r="39" spans="1:57" ht="13" customHeight="1">
      <c r="A39" s="1263" t="s">
        <v>2152</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2538</v>
      </c>
      <c r="BE39" s="1249">
        <f>Application!AG437</f>
        <v>90</v>
      </c>
    </row>
    <row r="40" spans="1:57" ht="13"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384</v>
      </c>
      <c r="BE40" s="1249">
        <f>Application!AG440</f>
        <v>89</v>
      </c>
    </row>
    <row r="41" spans="1:57" ht="13"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287</v>
      </c>
      <c r="BE41" s="1249">
        <f>Application!AG438</f>
        <v>0</v>
      </c>
    </row>
    <row r="42" spans="1:57" ht="13"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2539</v>
      </c>
      <c r="BE42" s="1251">
        <f>Application!AC753</f>
        <v>0.55168539325842691</v>
      </c>
    </row>
    <row r="43" spans="1:57" ht="13"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2540</v>
      </c>
      <c r="BE43" s="1251">
        <f>Application!AH753</f>
        <v>0.55166969552433442</v>
      </c>
    </row>
    <row r="44" spans="1:57" ht="13"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2541</v>
      </c>
      <c r="BE44" s="1249">
        <f>Application!AC454</f>
        <v>548955.6</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3" customHeight="1">
      <c r="A46" s="1331" t="s">
        <v>2153</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331"/>
      <c r="AK46" s="1331"/>
      <c r="AL46" s="1331"/>
      <c r="AM46" s="1331"/>
      <c r="AN46" s="1331"/>
      <c r="AO46" s="1331"/>
      <c r="AP46" s="1331"/>
      <c r="AQ46" s="1331"/>
      <c r="AR46" s="1331"/>
      <c r="AS46" s="1331"/>
      <c r="AT46" s="1331"/>
      <c r="AU46" s="20"/>
      <c r="AV46" s="20"/>
      <c r="AW46" s="20"/>
      <c r="AX46" s="20"/>
      <c r="AY46" s="20"/>
      <c r="AZ46" s="20"/>
      <c r="BD46" s="1248" t="s">
        <v>2543</v>
      </c>
      <c r="BE46" s="1249" t="b">
        <f>Application!T195="Yes"</f>
        <v>1</v>
      </c>
    </row>
    <row r="47" spans="1:57" ht="13" customHeight="1">
      <c r="A47" s="1331"/>
      <c r="B47" s="1331"/>
      <c r="C47" s="1331"/>
      <c r="D47" s="1331"/>
      <c r="E47" s="1331"/>
      <c r="F47" s="1331"/>
      <c r="G47" s="1331"/>
      <c r="H47" s="1331"/>
      <c r="I47" s="1331"/>
      <c r="J47" s="1331"/>
      <c r="K47" s="1331"/>
      <c r="L47" s="1331"/>
      <c r="M47" s="1331"/>
      <c r="N47" s="1331"/>
      <c r="O47" s="1331"/>
      <c r="P47" s="1331"/>
      <c r="Q47" s="1331"/>
      <c r="R47" s="1331"/>
      <c r="S47" s="1331"/>
      <c r="T47" s="1331"/>
      <c r="U47" s="1331"/>
      <c r="V47" s="1331"/>
      <c r="W47" s="1331"/>
      <c r="X47" s="1331"/>
      <c r="Y47" s="1331"/>
      <c r="Z47" s="1331"/>
      <c r="AA47" s="1331"/>
      <c r="AB47" s="1331"/>
      <c r="AC47" s="1331"/>
      <c r="AD47" s="1331"/>
      <c r="AE47" s="1331"/>
      <c r="AF47" s="1331"/>
      <c r="AG47" s="1331"/>
      <c r="AH47" s="1331"/>
      <c r="AI47" s="1331"/>
      <c r="AJ47" s="1331"/>
      <c r="AK47" s="1331"/>
      <c r="AL47" s="1331"/>
      <c r="AM47" s="1331"/>
      <c r="AN47" s="1331"/>
      <c r="AO47" s="1331"/>
      <c r="AP47" s="1331"/>
      <c r="AQ47" s="1331"/>
      <c r="AR47" s="1331"/>
      <c r="AS47" s="1331"/>
      <c r="AT47" s="1331"/>
      <c r="AU47" s="20"/>
      <c r="AV47" s="20"/>
      <c r="AW47" s="20"/>
      <c r="AX47" s="20"/>
      <c r="AY47" s="20"/>
      <c r="AZ47" s="20"/>
      <c r="BD47" s="1247" t="s">
        <v>2544</v>
      </c>
      <c r="BE47" s="1249" t="b">
        <f>Application!T196="Yes"</f>
        <v>0</v>
      </c>
    </row>
    <row r="48" spans="1:57" ht="13" customHeight="1">
      <c r="A48" s="1331"/>
      <c r="B48" s="1331"/>
      <c r="C48" s="1331"/>
      <c r="D48" s="1331"/>
      <c r="E48" s="1331"/>
      <c r="F48" s="1331"/>
      <c r="G48" s="1331"/>
      <c r="H48" s="1331"/>
      <c r="I48" s="1331"/>
      <c r="J48" s="1331"/>
      <c r="K48" s="1331"/>
      <c r="L48" s="1331"/>
      <c r="M48" s="1331"/>
      <c r="N48" s="1331"/>
      <c r="O48" s="1331"/>
      <c r="P48" s="1331"/>
      <c r="Q48" s="1331"/>
      <c r="R48" s="1331"/>
      <c r="S48" s="1331"/>
      <c r="T48" s="1331"/>
      <c r="U48" s="1331"/>
      <c r="V48" s="1331"/>
      <c r="W48" s="1331"/>
      <c r="X48" s="1331"/>
      <c r="Y48" s="1331"/>
      <c r="Z48" s="1331"/>
      <c r="AA48" s="1331"/>
      <c r="AB48" s="1331"/>
      <c r="AC48" s="1331"/>
      <c r="AD48" s="1331"/>
      <c r="AE48" s="1331"/>
      <c r="AF48" s="1331"/>
      <c r="AG48" s="1331"/>
      <c r="AH48" s="1331"/>
      <c r="AI48" s="1331"/>
      <c r="AJ48" s="1331"/>
      <c r="AK48" s="1331"/>
      <c r="AL48" s="1331"/>
      <c r="AM48" s="1331"/>
      <c r="AN48" s="1331"/>
      <c r="AO48" s="1331"/>
      <c r="AP48" s="1331"/>
      <c r="AQ48" s="1331"/>
      <c r="AR48" s="1331"/>
      <c r="AS48" s="1331"/>
      <c r="AT48" s="1331"/>
      <c r="AU48" s="20"/>
      <c r="AV48" s="20"/>
      <c r="AW48" s="20"/>
      <c r="AX48" s="20"/>
      <c r="AY48" s="20"/>
      <c r="AZ48" s="20"/>
      <c r="BD48" s="1248" t="s">
        <v>2545</v>
      </c>
      <c r="BE48" s="1249" t="str">
        <f>Application!M243</f>
        <v>Southern California Housing Collaborative</v>
      </c>
    </row>
    <row r="49" spans="1:57" ht="13" customHeight="1">
      <c r="A49" s="1331"/>
      <c r="B49" s="1331"/>
      <c r="C49" s="1331"/>
      <c r="D49" s="1331"/>
      <c r="E49" s="1331"/>
      <c r="F49" s="1331"/>
      <c r="G49" s="1331"/>
      <c r="H49" s="1331"/>
      <c r="I49" s="1331"/>
      <c r="J49" s="1331"/>
      <c r="K49" s="1331"/>
      <c r="L49" s="1331"/>
      <c r="M49" s="1331"/>
      <c r="N49" s="1331"/>
      <c r="O49" s="1331"/>
      <c r="P49" s="1331"/>
      <c r="Q49" s="1331"/>
      <c r="R49" s="1331"/>
      <c r="S49" s="1331"/>
      <c r="T49" s="1331"/>
      <c r="U49" s="1331"/>
      <c r="V49" s="1331"/>
      <c r="W49" s="1331"/>
      <c r="X49" s="1331"/>
      <c r="Y49" s="1331"/>
      <c r="Z49" s="1331"/>
      <c r="AA49" s="1331"/>
      <c r="AB49" s="1331"/>
      <c r="AC49" s="1331"/>
      <c r="AD49" s="1331"/>
      <c r="AE49" s="1331"/>
      <c r="AF49" s="1331"/>
      <c r="AG49" s="1331"/>
      <c r="AH49" s="1331"/>
      <c r="AI49" s="1331"/>
      <c r="AJ49" s="1331"/>
      <c r="AK49" s="1331"/>
      <c r="AL49" s="1331"/>
      <c r="AM49" s="1331"/>
      <c r="AN49" s="1331"/>
      <c r="AO49" s="1331"/>
      <c r="AP49" s="1331"/>
      <c r="AQ49" s="1331"/>
      <c r="AR49" s="1331"/>
      <c r="AS49" s="1331"/>
      <c r="AT49" s="1331"/>
      <c r="AU49" s="20"/>
      <c r="AV49" s="20"/>
      <c r="AW49" s="20"/>
      <c r="AX49" s="20"/>
      <c r="AY49" s="20"/>
      <c r="AZ49" s="20"/>
      <c r="BD49" s="1247" t="s">
        <v>2546</v>
      </c>
      <c r="BE49" s="1249" t="str">
        <f>Application!M246</f>
        <v>Nathan Schmid</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3" customHeight="1">
      <c r="A51" s="1263" t="s">
        <v>2154</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2548</v>
      </c>
      <c r="BE51" s="1249" t="str">
        <f>Application!M251</f>
        <v>CIC Mira Mesa, LLC</v>
      </c>
    </row>
    <row r="52" spans="1:57" ht="13"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2549</v>
      </c>
      <c r="BE52" s="1249" t="str">
        <f>Application!M254</f>
        <v>Cheri Hoffman</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Chelsea Investment Corporation</v>
      </c>
    </row>
    <row r="54" spans="1:57" ht="13" customHeight="1">
      <c r="A54" s="1263" t="s">
        <v>2155</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2551</v>
      </c>
      <c r="BE54" s="1249" t="str">
        <f>Application!M259</f>
        <v>N/A</v>
      </c>
    </row>
    <row r="55" spans="1:57" ht="13"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2552</v>
      </c>
      <c r="BE55" s="1249">
        <f>Application!M262</f>
        <v>0</v>
      </c>
    </row>
    <row r="56" spans="1:57" ht="13"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2553</v>
      </c>
      <c r="BE56" s="1249">
        <f>Application!AA265</f>
        <v>0</v>
      </c>
    </row>
    <row r="57" spans="1:57" ht="13"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2554</v>
      </c>
      <c r="BE57" s="1249" t="str">
        <f>Application!H287</f>
        <v>Chelsea Investment Corporation</v>
      </c>
    </row>
    <row r="58" spans="1:57" ht="13"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2555</v>
      </c>
      <c r="BE58" s="1249" t="str">
        <f>Application!H288</f>
        <v>6339 Paseo Del Lago</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Carlsbad, CA 92011</v>
      </c>
    </row>
    <row r="60" spans="1:57" ht="13" customHeight="1">
      <c r="A60" s="1263" t="s">
        <v>2156</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2557</v>
      </c>
      <c r="BE60" s="1249" t="str">
        <f>Application!H290</f>
        <v>Cheri Hoffman</v>
      </c>
    </row>
    <row r="61" spans="1:57" ht="13"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2558</v>
      </c>
      <c r="BE61" s="1249" t="str">
        <f>Application!H293</f>
        <v>cherihoffman@chelseainvestco.com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0.87</v>
      </c>
    </row>
    <row r="63" spans="1:57" ht="13"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3" customHeight="1">
      <c r="A65" s="1549" t="s">
        <v>2158</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c r="BD65" s="1247" t="s">
        <v>2596</v>
      </c>
      <c r="BE65" s="1249" t="str">
        <f>Z205</f>
        <v>(select)</v>
      </c>
    </row>
    <row r="66" spans="1:57" ht="13"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c r="BD66" s="1248" t="s">
        <v>2561</v>
      </c>
      <c r="BE66" s="1249" t="b">
        <f>Application!Z205="State Farmworker Credit"</f>
        <v>0</v>
      </c>
    </row>
    <row r="67" spans="1:57" ht="13"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c r="BD67" s="1247" t="s">
        <v>2562</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3" customHeight="1">
      <c r="A69" s="1549" t="s">
        <v>2159</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c r="BD69" s="1247" t="s">
        <v>2564</v>
      </c>
      <c r="BE69" s="1249" t="str">
        <f>Application!W700</f>
        <v>California Housing Finance Agency</v>
      </c>
    </row>
    <row r="70" spans="1:57" ht="13"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c r="BD70" s="1248" t="s">
        <v>2565</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3" customHeight="1">
      <c r="A72" s="1536" t="s">
        <v>2160</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2567</v>
      </c>
      <c r="BE72" s="1249">
        <f>'Points System'!AF805</f>
        <v>10</v>
      </c>
    </row>
    <row r="73" spans="1:57" ht="13"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2568</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3" customHeight="1">
      <c r="A75" s="1548" t="s">
        <v>2161</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c r="BD75" s="1247" t="s">
        <v>2570</v>
      </c>
      <c r="BE75" s="1249">
        <f>'Points System'!AF808</f>
        <v>10</v>
      </c>
    </row>
    <row r="76" spans="1:57" ht="13"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c r="BD76" s="1248" t="s">
        <v>2571</v>
      </c>
      <c r="BE76" s="1249">
        <f>'Points System'!AF811</f>
        <v>10</v>
      </c>
    </row>
    <row r="77" spans="1:57" ht="13"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c r="BD77" s="1247" t="s">
        <v>2572</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3" customHeight="1">
      <c r="A79" s="1549" t="s">
        <v>2162</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c r="BD79" s="1247" t="s">
        <v>2574</v>
      </c>
      <c r="BE79" s="1249">
        <f>'Points System'!AF815</f>
        <v>10</v>
      </c>
    </row>
    <row r="80" spans="1:57" ht="13"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c r="BD80" s="1248" t="s">
        <v>2575</v>
      </c>
      <c r="BE80" s="1249">
        <f>'Points System'!AF817</f>
        <v>10</v>
      </c>
    </row>
    <row r="81" spans="1:57" ht="13"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c r="BD81" s="1247" t="s">
        <v>2576</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3" customHeight="1">
      <c r="A83" s="1263" t="s">
        <v>2163</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2578</v>
      </c>
      <c r="BE83" s="1253">
        <f>'Tie Breaker'!H5</f>
        <v>1.2390219590290927</v>
      </c>
    </row>
    <row r="84" spans="1:57" ht="13"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2579</v>
      </c>
      <c r="BE84" s="1249" t="str">
        <f>Application!O153</f>
        <v>San Diego Housing Commission</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Jennifer Kreutter</v>
      </c>
    </row>
    <row r="86" spans="1:57" ht="13" customHeight="1">
      <c r="A86" s="1263" t="s">
        <v>2164</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2581</v>
      </c>
      <c r="BE86" s="1249" t="str">
        <f>Application!O155</f>
        <v>City Manager</v>
      </c>
    </row>
    <row r="87" spans="1:57" ht="13"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2582</v>
      </c>
      <c r="BE87" s="1249" t="str">
        <f>Application!O156</f>
        <v>1122 Broadway, Suite 300</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San Diego Housing Commission</v>
      </c>
    </row>
    <row r="89" spans="1:57" ht="13" customHeight="1">
      <c r="A89" s="1557" t="s">
        <v>2165</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c r="BD89" s="1247" t="s">
        <v>2584</v>
      </c>
      <c r="BE89" s="1249">
        <f>Application!O158</f>
        <v>92101</v>
      </c>
    </row>
    <row r="90" spans="1:57" ht="13"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c r="BD90" s="1248" t="s">
        <v>2585</v>
      </c>
      <c r="BE90" s="1249" t="str">
        <f>Application!H16</f>
        <v>Mira Mesa CIC,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6339 Paseo del Lago</v>
      </c>
    </row>
    <row r="92" spans="1:57" ht="13" customHeight="1">
      <c r="A92" s="1548" t="s">
        <v>2166</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c r="BD92" s="1248" t="s">
        <v>2587</v>
      </c>
      <c r="BE92" s="1249" t="str">
        <f>Application!M234</f>
        <v>Carlsbad</v>
      </c>
    </row>
    <row r="93" spans="1:57" ht="13"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c r="BD93" s="1247" t="s">
        <v>2588</v>
      </c>
      <c r="BE93" s="1249" t="str">
        <f>Application!W234</f>
        <v>CA</v>
      </c>
    </row>
    <row r="94" spans="1:57" ht="13"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c r="BD94" s="1248" t="s">
        <v>2589</v>
      </c>
      <c r="BE94" s="1249">
        <f>Application!AC234</f>
        <v>92011</v>
      </c>
    </row>
    <row r="95" spans="1:57" ht="13"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c r="BD95" s="1247" t="s">
        <v>2590</v>
      </c>
      <c r="BE95" s="1249" t="str">
        <f>Application!M235</f>
        <v>Cheri Hoffman</v>
      </c>
    </row>
    <row r="96" spans="1:57" ht="13"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c r="BD96" s="1248" t="s">
        <v>2591</v>
      </c>
      <c r="BE96" s="1249" t="str">
        <f>Application!M237</f>
        <v>cherihoffman@chelseainvestco.com</v>
      </c>
    </row>
    <row r="97" spans="1:57" ht="13"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c r="BD97" s="1247" t="s">
        <v>2592</v>
      </c>
      <c r="BE97" s="1249" t="str">
        <f>Application!M248</f>
        <v>nathan@socalhc.org</v>
      </c>
    </row>
    <row r="98" spans="1:57" ht="13"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c r="BD98" s="1248" t="s">
        <v>2593</v>
      </c>
      <c r="BE98" s="1249" t="str">
        <f>Application!M256</f>
        <v>cherihoffman@chelseainvestco.com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3" customHeight="1">
      <c r="A100" s="1558" t="s">
        <v>2167</v>
      </c>
      <c r="B100" s="1558"/>
      <c r="C100" s="1558"/>
      <c r="D100" s="1558"/>
      <c r="E100" s="1558"/>
      <c r="F100" s="1558"/>
      <c r="G100" s="1558"/>
      <c r="H100" s="1558"/>
      <c r="I100" s="1558"/>
      <c r="J100" s="1558"/>
      <c r="K100" s="1558"/>
      <c r="L100" s="1558"/>
      <c r="M100" s="1558"/>
      <c r="N100" s="1558"/>
      <c r="O100" s="1558"/>
      <c r="P100" s="1558"/>
      <c r="Q100" s="1558"/>
      <c r="R100" s="1558"/>
      <c r="S100" s="1558"/>
      <c r="T100" s="1558"/>
      <c r="U100" s="1558"/>
      <c r="V100" s="1558"/>
      <c r="W100" s="1558"/>
      <c r="X100" s="1558"/>
      <c r="Y100" s="1558"/>
      <c r="Z100" s="1558"/>
      <c r="AA100" s="1558"/>
      <c r="AB100" s="1558"/>
      <c r="AC100" s="1558"/>
      <c r="AD100" s="1558"/>
      <c r="AE100" s="1558"/>
      <c r="AF100" s="1558"/>
      <c r="AG100" s="1558"/>
      <c r="AH100" s="1558"/>
      <c r="AI100" s="1558"/>
      <c r="AJ100" s="1558"/>
      <c r="AK100" s="1558"/>
      <c r="AL100" s="1558"/>
      <c r="AM100" s="1558"/>
      <c r="AN100" s="1558"/>
      <c r="AO100" s="1558"/>
      <c r="AP100" s="1558"/>
      <c r="AQ100" s="1558"/>
      <c r="AR100" s="1558"/>
      <c r="AS100" s="1558"/>
      <c r="AT100" s="1558"/>
      <c r="AU100" s="20"/>
      <c r="AV100" s="20"/>
      <c r="AW100" s="20"/>
      <c r="AX100" s="20"/>
      <c r="AY100" s="20"/>
      <c r="AZ100" s="20"/>
      <c r="BD100" s="1248" t="s">
        <v>2595</v>
      </c>
      <c r="BE100" s="1249" t="str">
        <f>Application!L279</f>
        <v>cherihoffman@chelseainvestco.com</v>
      </c>
    </row>
    <row r="101" spans="1:57" ht="13" customHeight="1">
      <c r="A101" s="1558"/>
      <c r="B101" s="1558"/>
      <c r="C101" s="1558"/>
      <c r="D101" s="1558"/>
      <c r="E101" s="1558"/>
      <c r="F101" s="1558"/>
      <c r="G101" s="1558"/>
      <c r="H101" s="1558"/>
      <c r="I101" s="1558"/>
      <c r="J101" s="1558"/>
      <c r="K101" s="1558"/>
      <c r="L101" s="1558"/>
      <c r="M101" s="1558"/>
      <c r="N101" s="1558"/>
      <c r="O101" s="1558"/>
      <c r="P101" s="1558"/>
      <c r="Q101" s="1558"/>
      <c r="R101" s="1558"/>
      <c r="S101" s="1558"/>
      <c r="T101" s="1558"/>
      <c r="U101" s="1558"/>
      <c r="V101" s="1558"/>
      <c r="W101" s="1558"/>
      <c r="X101" s="1558"/>
      <c r="Y101" s="1558"/>
      <c r="Z101" s="1558"/>
      <c r="AA101" s="1558"/>
      <c r="AB101" s="1558"/>
      <c r="AC101" s="1558"/>
      <c r="AD101" s="1558"/>
      <c r="AE101" s="1558"/>
      <c r="AF101" s="1558"/>
      <c r="AG101" s="1558"/>
      <c r="AH101" s="1558"/>
      <c r="AI101" s="1558"/>
      <c r="AJ101" s="1558"/>
      <c r="AK101" s="1558"/>
      <c r="AL101" s="1558"/>
      <c r="AM101" s="1558"/>
      <c r="AN101" s="1558"/>
      <c r="AO101" s="1558"/>
      <c r="AP101" s="1558"/>
      <c r="AQ101" s="1558"/>
      <c r="AR101" s="1558"/>
      <c r="AS101" s="1558"/>
      <c r="AT101" s="1558"/>
      <c r="AU101" s="20"/>
      <c r="AV101" s="20"/>
      <c r="AW101" s="20"/>
      <c r="AX101" s="20"/>
      <c r="AY101" s="20"/>
      <c r="AZ101" s="20"/>
      <c r="BD101" s="3" t="s">
        <v>2600</v>
      </c>
      <c r="BE101">
        <f>'Sources and Uses Budget'!C105</f>
        <v>49406004</v>
      </c>
    </row>
    <row r="102" spans="1:57" ht="13" customHeight="1">
      <c r="A102" s="1558"/>
      <c r="B102" s="1558"/>
      <c r="C102" s="1558"/>
      <c r="D102" s="1558"/>
      <c r="E102" s="1558"/>
      <c r="F102" s="1558"/>
      <c r="G102" s="1558"/>
      <c r="H102" s="1558"/>
      <c r="I102" s="1558"/>
      <c r="J102" s="1558"/>
      <c r="K102" s="1558"/>
      <c r="L102" s="1558"/>
      <c r="M102" s="1558"/>
      <c r="N102" s="1558"/>
      <c r="O102" s="1558"/>
      <c r="P102" s="1558"/>
      <c r="Q102" s="1558"/>
      <c r="R102" s="1558"/>
      <c r="S102" s="1558"/>
      <c r="T102" s="1558"/>
      <c r="U102" s="1558"/>
      <c r="V102" s="1558"/>
      <c r="W102" s="1558"/>
      <c r="X102" s="1558"/>
      <c r="Y102" s="1558"/>
      <c r="Z102" s="1558"/>
      <c r="AA102" s="1558"/>
      <c r="AB102" s="1558"/>
      <c r="AC102" s="1558"/>
      <c r="AD102" s="1558"/>
      <c r="AE102" s="1558"/>
      <c r="AF102" s="1558"/>
      <c r="AG102" s="1558"/>
      <c r="AH102" s="1558"/>
      <c r="AI102" s="1558"/>
      <c r="AJ102" s="1558"/>
      <c r="AK102" s="1558"/>
      <c r="AL102" s="1558"/>
      <c r="AM102" s="1558"/>
      <c r="AN102" s="1558"/>
      <c r="AO102" s="1558"/>
      <c r="AP102" s="1558"/>
      <c r="AQ102" s="1558"/>
      <c r="AR102" s="1558"/>
      <c r="AS102" s="1558"/>
      <c r="AT102" s="1558"/>
      <c r="AU102" s="20"/>
      <c r="AV102" s="20"/>
      <c r="AW102" s="20"/>
      <c r="AX102" s="20"/>
      <c r="AY102" s="20"/>
      <c r="AZ102" s="20"/>
      <c r="BD102" s="3" t="s">
        <v>2601</v>
      </c>
      <c r="BE102" t="b">
        <f>T197="Yes"</f>
        <v>0</v>
      </c>
    </row>
    <row r="103" spans="1:57" ht="13" customHeight="1">
      <c r="A103" s="1558"/>
      <c r="B103" s="1558"/>
      <c r="C103" s="1558"/>
      <c r="D103" s="1558"/>
      <c r="E103" s="1558"/>
      <c r="F103" s="1558"/>
      <c r="G103" s="1558"/>
      <c r="H103" s="1558"/>
      <c r="I103" s="1558"/>
      <c r="J103" s="1558"/>
      <c r="K103" s="1558"/>
      <c r="L103" s="1558"/>
      <c r="M103" s="1558"/>
      <c r="N103" s="1558"/>
      <c r="O103" s="1558"/>
      <c r="P103" s="1558"/>
      <c r="Q103" s="1558"/>
      <c r="R103" s="1558"/>
      <c r="S103" s="1558"/>
      <c r="T103" s="1558"/>
      <c r="U103" s="1558"/>
      <c r="V103" s="1558"/>
      <c r="W103" s="1558"/>
      <c r="X103" s="1558"/>
      <c r="Y103" s="1558"/>
      <c r="Z103" s="1558"/>
      <c r="AA103" s="1558"/>
      <c r="AB103" s="1558"/>
      <c r="AC103" s="1558"/>
      <c r="AD103" s="1558"/>
      <c r="AE103" s="1558"/>
      <c r="AF103" s="1558"/>
      <c r="AG103" s="1558"/>
      <c r="AH103" s="1558"/>
      <c r="AI103" s="1558"/>
      <c r="AJ103" s="1558"/>
      <c r="AK103" s="1558"/>
      <c r="AL103" s="1558"/>
      <c r="AM103" s="1558"/>
      <c r="AN103" s="1558"/>
      <c r="AO103" s="1558"/>
      <c r="AP103" s="1558"/>
      <c r="AQ103" s="1558"/>
      <c r="AR103" s="1558"/>
      <c r="AS103" s="1558"/>
      <c r="AT103" s="1558"/>
      <c r="AU103" s="20"/>
      <c r="AV103" s="20"/>
      <c r="AW103" s="20"/>
      <c r="AX103" s="20"/>
      <c r="AY103" s="20"/>
      <c r="BD103" t="s">
        <v>2177</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58" t="s">
        <v>2168</v>
      </c>
      <c r="B105" s="1558"/>
      <c r="C105" s="1558"/>
      <c r="D105" s="1558"/>
      <c r="E105" s="1558"/>
      <c r="F105" s="1558"/>
      <c r="G105" s="1558"/>
      <c r="H105" s="1558"/>
      <c r="I105" s="1558"/>
      <c r="J105" s="1558"/>
      <c r="K105" s="1558"/>
      <c r="L105" s="1558"/>
      <c r="M105" s="1558"/>
      <c r="N105" s="1558"/>
      <c r="O105" s="1558"/>
      <c r="P105" s="1558"/>
      <c r="Q105" s="1558"/>
      <c r="R105" s="1558"/>
      <c r="S105" s="1558"/>
      <c r="T105" s="1558"/>
      <c r="U105" s="1558"/>
      <c r="V105" s="1558"/>
      <c r="W105" s="1558"/>
      <c r="X105" s="1558"/>
      <c r="Y105" s="1558"/>
      <c r="Z105" s="1558"/>
      <c r="AA105" s="1558"/>
      <c r="AB105" s="1558"/>
      <c r="AC105" s="1558"/>
      <c r="AD105" s="1558"/>
      <c r="AE105" s="1558"/>
      <c r="AF105" s="1558"/>
      <c r="AG105" s="1558"/>
      <c r="AH105" s="1558"/>
      <c r="AI105" s="1558"/>
      <c r="AJ105" s="1558"/>
      <c r="AK105" s="1558"/>
      <c r="AL105" s="1558"/>
      <c r="AM105" s="1558"/>
      <c r="AN105" s="1558"/>
      <c r="AO105" s="1558"/>
      <c r="AP105" s="1558"/>
      <c r="AQ105" s="1558"/>
      <c r="AR105" s="1558"/>
      <c r="AS105" s="1558"/>
      <c r="AT105" s="1558"/>
      <c r="AU105" s="20"/>
      <c r="AV105" s="20"/>
      <c r="AW105" s="20"/>
      <c r="AX105" s="20"/>
      <c r="AY105" s="20"/>
    </row>
    <row r="106" spans="1:57" ht="13" customHeight="1">
      <c r="A106" s="1558"/>
      <c r="B106" s="1558"/>
      <c r="C106" s="1558"/>
      <c r="D106" s="1558"/>
      <c r="E106" s="1558"/>
      <c r="F106" s="1558"/>
      <c r="G106" s="1558"/>
      <c r="H106" s="1558"/>
      <c r="I106" s="1558"/>
      <c r="J106" s="1558"/>
      <c r="K106" s="1558"/>
      <c r="L106" s="1558"/>
      <c r="M106" s="1558"/>
      <c r="N106" s="1558"/>
      <c r="O106" s="1558"/>
      <c r="P106" s="1558"/>
      <c r="Q106" s="1558"/>
      <c r="R106" s="1558"/>
      <c r="S106" s="1558"/>
      <c r="T106" s="1558"/>
      <c r="U106" s="1558"/>
      <c r="V106" s="1558"/>
      <c r="W106" s="1558"/>
      <c r="X106" s="1558"/>
      <c r="Y106" s="1558"/>
      <c r="Z106" s="1558"/>
      <c r="AA106" s="1558"/>
      <c r="AB106" s="1558"/>
      <c r="AC106" s="1558"/>
      <c r="AD106" s="1558"/>
      <c r="AE106" s="1558"/>
      <c r="AF106" s="1558"/>
      <c r="AG106" s="1558"/>
      <c r="AH106" s="1558"/>
      <c r="AI106" s="1558"/>
      <c r="AJ106" s="1558"/>
      <c r="AK106" s="1558"/>
      <c r="AL106" s="1558"/>
      <c r="AM106" s="1558"/>
      <c r="AN106" s="1558"/>
      <c r="AO106" s="1558"/>
      <c r="AP106" s="1558"/>
      <c r="AQ106" s="1558"/>
      <c r="AR106" s="1558"/>
      <c r="AS106" s="1558"/>
      <c r="AT106" s="1558"/>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181</v>
      </c>
      <c r="G113" s="1551">
        <v>16</v>
      </c>
      <c r="H113" s="1551"/>
      <c r="I113" s="3" t="s">
        <v>182</v>
      </c>
      <c r="L113" s="1551" t="s">
        <v>2744</v>
      </c>
      <c r="M113" s="1551"/>
      <c r="N113" s="1551"/>
      <c r="O113" s="1551"/>
      <c r="P113" s="1563" t="s">
        <v>2242</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2" t="s">
        <v>730</v>
      </c>
      <c r="D115" s="1552"/>
      <c r="E115" s="1552"/>
      <c r="F115" s="1552"/>
      <c r="G115" s="1552"/>
      <c r="H115" s="1552"/>
      <c r="I115" s="1552"/>
      <c r="J115" s="1552"/>
      <c r="K115" s="1552"/>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629</v>
      </c>
      <c r="Y117" s="1551"/>
      <c r="Z117" s="1551"/>
      <c r="AA117" s="1551"/>
      <c r="AB117" s="1551"/>
      <c r="AC117" s="1551"/>
      <c r="AD117" s="1551"/>
      <c r="AE117" s="1551"/>
      <c r="AF117" s="1551"/>
      <c r="AG117" s="1551"/>
      <c r="AH117" s="1551"/>
      <c r="AI117" s="1551"/>
      <c r="AJ117" s="1551"/>
      <c r="AK117" s="1551"/>
    </row>
    <row r="118" spans="1:117" ht="13" customHeight="1">
      <c r="X118" s="3"/>
      <c r="Y118" s="3"/>
      <c r="Z118" s="3" t="s">
        <v>630</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1" t="s">
        <v>2625</v>
      </c>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8" t="s">
        <v>470</v>
      </c>
      <c r="CV122" s="1699"/>
      <c r="CW122" s="14"/>
      <c r="CX122" s="14" t="s">
        <v>635</v>
      </c>
      <c r="CY122" s="14"/>
      <c r="CZ122" s="14"/>
      <c r="DA122" s="14"/>
      <c r="DB122" s="14"/>
      <c r="DC122" s="14"/>
      <c r="DD122" s="14"/>
      <c r="DE122" s="14"/>
      <c r="DF122" s="14"/>
      <c r="DG122" s="1695" t="str">
        <f>T189</f>
        <v>San Diego</v>
      </c>
      <c r="DH122" s="1696"/>
      <c r="DI122" s="1696"/>
      <c r="DJ122" s="1696"/>
      <c r="DK122" s="1696"/>
      <c r="DL122" s="1696"/>
      <c r="DM122" s="1697"/>
    </row>
    <row r="123" spans="1:117" ht="13" customHeight="1">
      <c r="A123" s="3"/>
      <c r="B123" s="3"/>
      <c r="T123" s="3"/>
      <c r="U123" s="3"/>
      <c r="V123" s="3"/>
      <c r="W123" s="3"/>
      <c r="X123" s="3"/>
      <c r="Y123" s="1551" t="s">
        <v>2743</v>
      </c>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3" customHeight="1">
      <c r="A150" s="3"/>
      <c r="B150" s="3"/>
      <c r="D150" s="3"/>
      <c r="E150" s="3"/>
      <c r="F150" s="1408"/>
      <c r="G150" s="1408"/>
      <c r="H150" s="1408"/>
      <c r="I150" s="1408"/>
      <c r="J150" s="1408"/>
      <c r="K150" s="1408"/>
      <c r="L150" s="1408"/>
      <c r="M150" s="1408"/>
      <c r="N150" s="1408"/>
      <c r="O150" s="1408"/>
      <c r="P150" s="1408"/>
      <c r="Q150" s="1408"/>
      <c r="R150" s="1408"/>
      <c r="S150" s="1408"/>
      <c r="T150" s="140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3" customHeight="1">
      <c r="BM152">
        <v>4</v>
      </c>
      <c r="BN152" s="3" t="s">
        <v>2467</v>
      </c>
    </row>
    <row r="153" spans="1:108" ht="13" customHeight="1">
      <c r="D153" t="s">
        <v>646</v>
      </c>
      <c r="O153" s="1532" t="s">
        <v>2615</v>
      </c>
      <c r="P153" s="1532"/>
      <c r="Q153" s="1532"/>
      <c r="R153" s="1532"/>
      <c r="S153" s="1532"/>
      <c r="T153" s="1532"/>
      <c r="U153" s="1532"/>
      <c r="V153" s="1532"/>
      <c r="W153" s="1532"/>
      <c r="X153" s="1532"/>
      <c r="Y153" s="1532"/>
      <c r="Z153" s="1532"/>
      <c r="AA153" s="1532"/>
      <c r="AB153" s="1532"/>
      <c r="AC153" s="1532"/>
      <c r="AD153" s="1532"/>
      <c r="AE153" s="1532"/>
      <c r="AF153" s="1532"/>
      <c r="AG153" s="1532"/>
      <c r="AH153" s="1532"/>
      <c r="BM153">
        <v>5</v>
      </c>
      <c r="BN153" s="3" t="s">
        <v>2469</v>
      </c>
      <c r="CR153" s="31" t="s">
        <v>2602</v>
      </c>
      <c r="CS153" s="32"/>
      <c r="CT153" s="32"/>
      <c r="CU153" s="32"/>
      <c r="CV153" s="32"/>
      <c r="CW153" s="32"/>
      <c r="CX153" s="14"/>
      <c r="CY153" s="31" t="s">
        <v>2603</v>
      </c>
      <c r="CZ153" s="14"/>
      <c r="DA153" s="14"/>
      <c r="DB153" s="14"/>
      <c r="DC153" s="14"/>
      <c r="DD153" s="14"/>
    </row>
    <row r="154" spans="1:108" ht="13" customHeight="1">
      <c r="D154" s="303" t="s">
        <v>440</v>
      </c>
      <c r="O154" s="1493" t="s">
        <v>2616</v>
      </c>
      <c r="P154" s="1493"/>
      <c r="Q154" s="1493"/>
      <c r="R154" s="1493"/>
      <c r="S154" s="1493"/>
      <c r="T154" s="1493"/>
      <c r="U154" s="1493"/>
      <c r="V154" s="1493"/>
      <c r="W154" s="1493"/>
      <c r="X154" s="1493"/>
      <c r="Y154" s="1493"/>
      <c r="Z154" s="1493"/>
      <c r="AA154" s="1493"/>
      <c r="AB154" s="1493"/>
      <c r="AC154" s="1493"/>
      <c r="AD154" s="1493"/>
      <c r="AE154" s="1493"/>
      <c r="AF154" s="1493"/>
      <c r="AG154" s="1493"/>
      <c r="AH154" s="1493"/>
      <c r="BM154">
        <v>6</v>
      </c>
      <c r="BN154" s="3" t="s">
        <v>2470</v>
      </c>
      <c r="CR154" s="31"/>
      <c r="CS154" s="32"/>
      <c r="CT154" s="32"/>
      <c r="CU154" s="32"/>
      <c r="CV154" s="32"/>
      <c r="CW154" s="32"/>
      <c r="CX154" s="14"/>
      <c r="CY154" s="31"/>
      <c r="CZ154" s="14"/>
      <c r="DA154" s="14"/>
      <c r="DB154" s="14"/>
      <c r="DC154" s="14"/>
      <c r="DD154" s="14"/>
    </row>
    <row r="155" spans="1:108" ht="13" customHeight="1">
      <c r="D155" s="8" t="s">
        <v>442</v>
      </c>
      <c r="F155" s="8"/>
      <c r="G155" s="8"/>
      <c r="H155" s="8"/>
      <c r="I155" s="8"/>
      <c r="J155" s="8"/>
      <c r="K155" s="8"/>
      <c r="L155" s="8"/>
      <c r="M155" s="8"/>
      <c r="N155" s="8"/>
      <c r="O155" s="1567" t="s">
        <v>441</v>
      </c>
      <c r="P155" s="1567"/>
      <c r="Q155" s="1567"/>
      <c r="R155" s="1567"/>
      <c r="S155" s="1567"/>
      <c r="T155" s="1567"/>
      <c r="U155" s="1567"/>
      <c r="V155" s="1567"/>
      <c r="W155" s="1567"/>
      <c r="X155" s="1567"/>
      <c r="Y155" s="1567"/>
      <c r="Z155" s="1567"/>
      <c r="AA155" s="1567"/>
      <c r="AB155" s="1567"/>
      <c r="AC155" s="1567"/>
      <c r="AD155" s="1567"/>
      <c r="AE155" s="1567"/>
      <c r="AF155" s="1567"/>
      <c r="AG155" s="1567"/>
      <c r="AH155" s="1567"/>
      <c r="BM155">
        <v>7</v>
      </c>
      <c r="BN155" s="3" t="s">
        <v>592</v>
      </c>
      <c r="CR155" s="31"/>
      <c r="CS155" s="32"/>
      <c r="CT155" s="32"/>
      <c r="CU155" s="32"/>
      <c r="CV155" s="32"/>
      <c r="CW155" s="32"/>
      <c r="CX155" s="14"/>
      <c r="CY155" s="31"/>
      <c r="CZ155" s="14"/>
      <c r="DA155" s="14"/>
      <c r="DB155" s="14"/>
      <c r="DC155" s="14"/>
      <c r="DD155" s="14"/>
    </row>
    <row r="156" spans="1:108" ht="13" customHeight="1">
      <c r="D156" t="s">
        <v>313</v>
      </c>
      <c r="O156" s="1532" t="s">
        <v>2617</v>
      </c>
      <c r="P156" s="1410"/>
      <c r="Q156" s="1410"/>
      <c r="R156" s="1410"/>
      <c r="S156" s="1410"/>
      <c r="T156" s="1410"/>
      <c r="U156" s="1410"/>
      <c r="V156" s="1410"/>
      <c r="W156" s="1410"/>
      <c r="X156" s="1410"/>
      <c r="Y156" s="1410"/>
      <c r="Z156" s="1410"/>
      <c r="AA156" s="1410"/>
      <c r="AB156" s="1410"/>
      <c r="AC156" s="1410"/>
      <c r="AD156" s="1410"/>
      <c r="AE156" s="1410"/>
      <c r="AF156" s="1410"/>
      <c r="AG156" s="1410"/>
      <c r="AH156" s="1410"/>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3" customHeight="1">
      <c r="D157" t="s">
        <v>314</v>
      </c>
      <c r="O157" s="1532" t="s">
        <v>2615</v>
      </c>
      <c r="P157" s="1532"/>
      <c r="Q157" s="1532"/>
      <c r="R157" s="1532"/>
      <c r="S157" s="1532"/>
      <c r="T157" s="1532"/>
      <c r="U157" s="1532"/>
      <c r="V157" s="1532"/>
      <c r="W157" s="1532"/>
      <c r="X157" s="1532"/>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3" customHeight="1">
      <c r="D158" t="s">
        <v>315</v>
      </c>
      <c r="O158" s="1539">
        <v>92101</v>
      </c>
      <c r="P158" s="1540"/>
      <c r="Q158" s="1540"/>
      <c r="R158" s="154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316</v>
      </c>
      <c r="O159" s="1541" t="s">
        <v>2618</v>
      </c>
      <c r="P159" s="1542"/>
      <c r="Q159" s="1542"/>
      <c r="R159" s="1542"/>
      <c r="S159" s="1542"/>
      <c r="T159" s="1542"/>
      <c r="V159" s="97" t="s">
        <v>271</v>
      </c>
      <c r="W159" s="1561"/>
      <c r="X159" s="156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3" customHeight="1">
      <c r="D160" t="s">
        <v>317</v>
      </c>
      <c r="O160" s="1542"/>
      <c r="P160" s="1542"/>
      <c r="Q160" s="1542"/>
      <c r="R160" s="1542"/>
      <c r="S160" s="1542"/>
      <c r="T160" s="154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3" customHeight="1">
      <c r="D161" t="s">
        <v>318</v>
      </c>
      <c r="O161" s="1543" t="s">
        <v>2619</v>
      </c>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3" customHeight="1">
      <c r="C164" s="27"/>
      <c r="D164" s="1553" t="s">
        <v>2218</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3" customHeight="1">
      <c r="A169" s="1535" t="s">
        <v>540</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3"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3"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3"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3" customHeight="1">
      <c r="C173" s="24"/>
      <c r="D173" t="s">
        <v>321</v>
      </c>
      <c r="J173" s="1556" t="s">
        <v>371</v>
      </c>
      <c r="K173" s="1556"/>
      <c r="L173" s="1556"/>
      <c r="M173" s="1556"/>
      <c r="N173" s="1556"/>
      <c r="O173" s="1556"/>
      <c r="P173" s="1556"/>
      <c r="Q173" s="1556"/>
      <c r="R173" s="1556"/>
      <c r="S173" s="1556"/>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3" customHeight="1">
      <c r="C174" s="24"/>
      <c r="D174" s="3" t="s">
        <v>1203</v>
      </c>
      <c r="J174" s="1410" t="s">
        <v>2103</v>
      </c>
      <c r="K174" s="1410"/>
      <c r="L174" s="1410"/>
      <c r="M174" s="1410"/>
      <c r="N174" s="1410"/>
      <c r="O174" s="1410"/>
      <c r="P174" s="1410"/>
      <c r="Q174" s="1410"/>
      <c r="R174" s="1410"/>
      <c r="S174" s="1410"/>
      <c r="T174" s="1410"/>
      <c r="U174" s="1410"/>
      <c r="V174" s="1410"/>
      <c r="W174" s="1410"/>
      <c r="X174" s="1410"/>
      <c r="Y174" s="1410"/>
      <c r="Z174" s="1410"/>
      <c r="AA174" s="1410"/>
      <c r="AB174" s="1410"/>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 customHeight="1">
      <c r="C175" s="8"/>
      <c r="D175" s="3" t="s">
        <v>322</v>
      </c>
      <c r="O175" s="27"/>
      <c r="U175" s="1418" t="s">
        <v>670</v>
      </c>
      <c r="V175" s="1418"/>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 customHeight="1">
      <c r="C176" s="8"/>
      <c r="D176" s="26"/>
      <c r="E176" t="s">
        <v>304</v>
      </c>
      <c r="O176" s="27"/>
      <c r="P176" t="s">
        <v>2081</v>
      </c>
      <c r="T176" s="27" t="s">
        <v>305</v>
      </c>
      <c r="U176" s="1512" t="s">
        <v>592</v>
      </c>
      <c r="V176" s="1512"/>
      <c r="W176" s="1" t="s">
        <v>306</v>
      </c>
      <c r="X176" s="1544" t="s">
        <v>592</v>
      </c>
      <c r="Y176" s="1544"/>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 customHeight="1">
      <c r="C177" s="24"/>
      <c r="D177" t="s">
        <v>249</v>
      </c>
      <c r="R177" s="1418" t="s">
        <v>670</v>
      </c>
      <c r="S177" s="1418"/>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 customHeight="1">
      <c r="C178" s="24"/>
      <c r="D178" s="3" t="s">
        <v>1204</v>
      </c>
      <c r="AA178" t="s">
        <v>2081</v>
      </c>
      <c r="AE178" s="27" t="s">
        <v>305</v>
      </c>
      <c r="AF178" s="1570" t="s">
        <v>592</v>
      </c>
      <c r="AG178" s="1570"/>
      <c r="AH178" s="1" t="s">
        <v>306</v>
      </c>
      <c r="AI178" s="1449" t="s">
        <v>592</v>
      </c>
      <c r="AJ178" s="1449"/>
      <c r="AK178" s="1449"/>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 customHeight="1">
      <c r="C180" s="24"/>
      <c r="D180" t="s">
        <v>2082</v>
      </c>
      <c r="X180" s="1418" t="s">
        <v>670</v>
      </c>
      <c r="Y180" s="1418"/>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 customHeight="1">
      <c r="C184" s="21"/>
      <c r="D184" t="s">
        <v>579</v>
      </c>
      <c r="I184" s="1486" t="str">
        <f>H18</f>
        <v>Mira Mesa</v>
      </c>
      <c r="J184" s="1486"/>
      <c r="K184" s="1486"/>
      <c r="L184" s="1486"/>
      <c r="M184" s="1486"/>
      <c r="N184" s="1486"/>
      <c r="O184" s="1486"/>
      <c r="P184" s="1486"/>
      <c r="Q184" s="1486"/>
      <c r="R184" s="1486"/>
      <c r="S184" s="1486"/>
      <c r="T184" s="1486"/>
      <c r="U184" s="1486"/>
      <c r="V184" s="1486"/>
      <c r="W184" s="1486"/>
      <c r="X184" s="1486"/>
      <c r="Y184" s="1486"/>
      <c r="Z184" s="1486"/>
      <c r="AA184" s="1486"/>
      <c r="AB184" s="1486"/>
      <c r="AC184" s="1486"/>
      <c r="AD184" s="1486"/>
      <c r="AE184" s="1486"/>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 customHeight="1">
      <c r="C185" s="21"/>
      <c r="D185" t="s">
        <v>580</v>
      </c>
      <c r="I185" s="1374" t="s">
        <v>2620</v>
      </c>
      <c r="J185" s="1374"/>
      <c r="K185" s="1374"/>
      <c r="L185" s="1374"/>
      <c r="M185" s="1374"/>
      <c r="N185" s="1374"/>
      <c r="O185" s="1374"/>
      <c r="P185" s="1374"/>
      <c r="Q185" s="1374"/>
      <c r="R185" s="1374"/>
      <c r="S185" s="1374"/>
      <c r="T185" s="1374"/>
      <c r="U185" s="1374"/>
      <c r="V185" s="1374"/>
      <c r="W185" s="1374"/>
      <c r="X185" s="1374"/>
      <c r="Y185" s="1374"/>
      <c r="Z185" s="1374"/>
      <c r="AA185" s="1374"/>
      <c r="AB185" s="1374"/>
      <c r="AC185" s="1374"/>
      <c r="AD185" s="1374"/>
      <c r="AE185" s="1374"/>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 customHeight="1">
      <c r="C189" s="21"/>
      <c r="D189" t="s">
        <v>581</v>
      </c>
      <c r="I189" s="1532" t="s">
        <v>730</v>
      </c>
      <c r="J189" s="1410"/>
      <c r="K189" s="1410"/>
      <c r="L189" s="1410"/>
      <c r="M189" s="1410"/>
      <c r="N189" s="1410"/>
      <c r="O189" s="1410"/>
      <c r="P189" s="1410"/>
      <c r="Q189" t="s">
        <v>583</v>
      </c>
      <c r="T189" s="1410" t="s">
        <v>730</v>
      </c>
      <c r="U189" s="1410"/>
      <c r="V189" s="1410"/>
      <c r="W189" s="1410"/>
      <c r="X189" s="1410"/>
      <c r="Y189" s="1410"/>
      <c r="Z189" s="1410"/>
      <c r="AA189" s="1410"/>
      <c r="AB189" s="1410"/>
      <c r="AC189" s="1410"/>
      <c r="AD189" s="1410"/>
      <c r="AE189" s="1410"/>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 customHeight="1">
      <c r="C190" s="21"/>
      <c r="D190" t="s">
        <v>584</v>
      </c>
      <c r="I190" s="1374">
        <v>92131</v>
      </c>
      <c r="J190" s="1374"/>
      <c r="K190" s="1374"/>
      <c r="L190" s="1374"/>
      <c r="M190" s="1374"/>
      <c r="N190" s="1374"/>
      <c r="O190" t="s">
        <v>586</v>
      </c>
      <c r="T190" s="1559">
        <v>6073017022</v>
      </c>
      <c r="U190" s="1559"/>
      <c r="V190" s="1559"/>
      <c r="W190" s="1559"/>
      <c r="X190" s="1559"/>
      <c r="Y190" s="1559"/>
      <c r="Z190" s="1559"/>
      <c r="AA190" s="1559"/>
      <c r="AB190" s="1559"/>
      <c r="AC190" s="1559"/>
      <c r="AD190" s="1559"/>
      <c r="AE190" s="1559"/>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 customHeight="1">
      <c r="C191" s="21"/>
      <c r="D191" t="s">
        <v>463</v>
      </c>
      <c r="N191" s="1528" t="s">
        <v>2737</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 customHeight="1">
      <c r="C193" s="21"/>
      <c r="D193" t="s">
        <v>2083</v>
      </c>
      <c r="M193" s="40"/>
      <c r="N193" s="894"/>
      <c r="O193" s="894"/>
      <c r="P193" s="894"/>
      <c r="Q193" s="894"/>
      <c r="R193" s="894"/>
      <c r="S193" s="894"/>
      <c r="T193" s="1562" t="s">
        <v>1971</v>
      </c>
      <c r="U193" s="1562"/>
      <c r="V193" s="1562"/>
      <c r="W193" s="1562"/>
      <c r="X193" s="1562"/>
      <c r="Y193" s="1562"/>
      <c r="Z193" s="1562"/>
      <c r="AA193" s="1562"/>
      <c r="AB193" s="1562"/>
      <c r="AC193" s="1562"/>
      <c r="AD193" s="1562"/>
      <c r="AE193" s="1562"/>
      <c r="AF193" s="1562"/>
      <c r="AG193" s="1562"/>
      <c r="AH193" s="1562"/>
      <c r="AI193" s="1562"/>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3" customHeight="1">
      <c r="C194" s="21"/>
      <c r="D194" s="3" t="s">
        <v>2217</v>
      </c>
      <c r="M194" s="40"/>
      <c r="N194" s="894"/>
      <c r="O194" s="894"/>
      <c r="P194" s="894"/>
      <c r="Q194" s="894"/>
      <c r="R194" s="894"/>
      <c r="S194" s="894"/>
      <c r="AH194" s="1418" t="s">
        <v>670</v>
      </c>
      <c r="AI194" s="1418"/>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3" customHeight="1">
      <c r="C195" s="21"/>
      <c r="D195" t="s">
        <v>331</v>
      </c>
      <c r="T195" s="1418" t="s">
        <v>546</v>
      </c>
      <c r="U195" s="1418"/>
      <c r="W195" t="s">
        <v>685</v>
      </c>
      <c r="AH195" s="1418">
        <v>51</v>
      </c>
      <c r="AI195" s="1418"/>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3" customHeight="1">
      <c r="C196" s="21"/>
      <c r="D196" t="s">
        <v>386</v>
      </c>
      <c r="T196" s="1430" t="s">
        <v>670</v>
      </c>
      <c r="U196" s="1430"/>
      <c r="W196" t="s">
        <v>686</v>
      </c>
      <c r="AH196" s="1418">
        <v>75</v>
      </c>
      <c r="AI196" s="1418"/>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3" customHeight="1">
      <c r="C197" s="21"/>
      <c r="D197" s="3" t="s">
        <v>169</v>
      </c>
      <c r="T197" s="1430" t="s">
        <v>670</v>
      </c>
      <c r="U197" s="1430"/>
      <c r="W197" t="s">
        <v>687</v>
      </c>
      <c r="AH197" s="1418">
        <v>40</v>
      </c>
      <c r="AI197" s="1418"/>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3" customHeight="1">
      <c r="A198"/>
      <c r="B198"/>
      <c r="C198" s="21"/>
      <c r="D198" s="3" t="s">
        <v>1653</v>
      </c>
      <c r="E198"/>
      <c r="F198"/>
      <c r="G198"/>
      <c r="H198"/>
      <c r="I198"/>
      <c r="J198"/>
      <c r="K198"/>
      <c r="L198"/>
      <c r="M198"/>
      <c r="N198"/>
      <c r="O198"/>
      <c r="P198"/>
      <c r="Q198"/>
      <c r="R198"/>
      <c r="S198"/>
      <c r="T198" s="1430">
        <v>0</v>
      </c>
      <c r="U198" s="1430"/>
      <c r="V198"/>
      <c r="X198" s="1536" t="s">
        <v>2516</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 customHeight="1">
      <c r="A199"/>
      <c r="B199"/>
      <c r="C199" s="21"/>
      <c r="D199" s="118" t="s">
        <v>2519</v>
      </c>
      <c r="E199"/>
      <c r="F199"/>
      <c r="G199"/>
      <c r="H199"/>
      <c r="I199"/>
      <c r="J199"/>
      <c r="K199"/>
      <c r="L199"/>
      <c r="M199"/>
      <c r="N199"/>
      <c r="O199"/>
      <c r="P199"/>
      <c r="Q199"/>
      <c r="R199"/>
      <c r="S199"/>
      <c r="T199" s="1418" t="s">
        <v>670</v>
      </c>
      <c r="U199" s="1418"/>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 customHeight="1">
      <c r="A200"/>
      <c r="B200"/>
      <c r="C200" s="21"/>
      <c r="D200" s="14" t="s">
        <v>2517</v>
      </c>
      <c r="T200" s="1418" t="s">
        <v>670</v>
      </c>
      <c r="U200" s="1418"/>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3"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3"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3" customHeight="1">
      <c r="D204" s="1486" t="s">
        <v>385</v>
      </c>
      <c r="E204" s="1486"/>
      <c r="F204" s="1486"/>
      <c r="G204" s="1486"/>
      <c r="H204" s="1486"/>
      <c r="I204" s="1486"/>
      <c r="J204" s="1486"/>
      <c r="K204" s="1486"/>
      <c r="L204" s="1486"/>
      <c r="M204" s="1486"/>
      <c r="P204" s="1554">
        <f>M26</f>
        <v>2424689</v>
      </c>
      <c r="Q204" s="1555"/>
      <c r="R204" s="1555"/>
      <c r="S204" s="1555"/>
      <c r="T204" s="1555"/>
      <c r="U204" s="1555"/>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3" customHeight="1">
      <c r="C205" s="21"/>
      <c r="D205" s="1538" t="s">
        <v>1248</v>
      </c>
      <c r="E205" s="1486"/>
      <c r="F205" s="1486"/>
      <c r="G205" s="1486"/>
      <c r="H205" s="1486"/>
      <c r="I205" s="1486"/>
      <c r="J205" s="1486"/>
      <c r="K205" s="1486"/>
      <c r="L205" s="1486"/>
      <c r="M205" s="1486"/>
      <c r="P205" s="1555">
        <f>M27</f>
        <v>0</v>
      </c>
      <c r="Q205" s="1555"/>
      <c r="R205" s="1555"/>
      <c r="S205" s="1555"/>
      <c r="T205" s="1555"/>
      <c r="U205" s="1555"/>
      <c r="V205" s="28"/>
      <c r="W205" s="3" t="s">
        <v>1721</v>
      </c>
      <c r="Z205" s="1534" t="s">
        <v>1185</v>
      </c>
      <c r="AA205" s="1534"/>
      <c r="AB205" s="1534"/>
      <c r="AC205" s="1534"/>
      <c r="AD205" s="1534"/>
      <c r="AE205" s="1534"/>
      <c r="AF205" s="1534"/>
      <c r="AG205" s="1534"/>
      <c r="AH205" s="1534"/>
      <c r="AI205" s="1534"/>
      <c r="AJ205" s="1534"/>
      <c r="AK205" s="1534"/>
      <c r="AL205" s="1534"/>
      <c r="AM205" s="1534"/>
      <c r="AN205" s="1534"/>
      <c r="AP205" s="1408"/>
      <c r="AQ205" s="1408"/>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3"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3" customHeight="1">
      <c r="C208" s="21"/>
      <c r="D208" s="1525" t="s">
        <v>2621</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2233</v>
      </c>
      <c r="Q212" s="1418">
        <v>0</v>
      </c>
      <c r="R212" s="1418"/>
      <c r="T212" s="1564">
        <f>IFERROR(Q212/AG440,0)</f>
        <v>0</v>
      </c>
      <c r="U212" s="1565"/>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50" t="s">
        <v>592</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1654</v>
      </c>
      <c r="Z215" s="40"/>
      <c r="AB215" s="1523"/>
      <c r="AC215" s="1523"/>
      <c r="AD215" s="1523"/>
      <c r="AE215" s="1523"/>
      <c r="AF215" s="1523"/>
      <c r="AG215" s="1523"/>
      <c r="AH215" s="1523"/>
      <c r="AI215" s="1523"/>
      <c r="AJ215" s="1523"/>
      <c r="AK215" s="1523"/>
      <c r="AL215" s="1523"/>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1652</v>
      </c>
      <c r="Z216" s="40"/>
      <c r="AB216" s="1523"/>
      <c r="AC216" s="1523"/>
      <c r="AD216" s="1523"/>
      <c r="AE216" s="1523"/>
      <c r="AF216" s="1523"/>
      <c r="AG216" s="1523"/>
      <c r="AH216" s="1523"/>
      <c r="AI216" s="1523"/>
      <c r="AJ216" s="1523"/>
      <c r="AK216" s="1523"/>
      <c r="AL216" s="1523"/>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 customHeight="1">
      <c r="A218" s="2" t="s">
        <v>593</v>
      </c>
      <c r="C218" s="2" t="s">
        <v>2236</v>
      </c>
      <c r="D218" s="28"/>
      <c r="AC218" s="2" t="s">
        <v>2465</v>
      </c>
      <c r="BC218" t="s">
        <v>530</v>
      </c>
    </row>
    <row r="219" spans="1:108" ht="13" customHeight="1">
      <c r="A219" s="2"/>
      <c r="C219" s="2"/>
      <c r="D219" s="3" t="s">
        <v>2466</v>
      </c>
      <c r="AZ219" s="3"/>
      <c r="BA219" s="3"/>
      <c r="BC219" t="s">
        <v>377</v>
      </c>
    </row>
    <row r="220" spans="1:108" ht="13" customHeight="1">
      <c r="A220" s="2"/>
      <c r="C220" s="2"/>
      <c r="D220" s="1525" t="s">
        <v>612</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7" t="s">
        <v>2467</v>
      </c>
      <c r="AD220" s="1537"/>
      <c r="AE220" s="1537"/>
      <c r="AF220" s="1537"/>
      <c r="AG220" s="1537"/>
      <c r="AH220" s="1537"/>
      <c r="AI220" s="1537"/>
      <c r="AJ220" s="1537"/>
      <c r="AK220" s="1537"/>
      <c r="AL220" s="1537"/>
      <c r="AM220" s="1537"/>
      <c r="AN220" s="1537"/>
      <c r="AO220" s="1537"/>
      <c r="AP220" s="1537"/>
      <c r="AQ220" s="1537"/>
      <c r="BA220" s="3"/>
      <c r="BC220" t="s">
        <v>300</v>
      </c>
    </row>
    <row r="221" spans="1:108" ht="13" customHeight="1">
      <c r="A221" s="2"/>
      <c r="B221" s="14"/>
      <c r="C221" s="2"/>
      <c r="BA221" s="3"/>
    </row>
    <row r="222" spans="1:108" ht="13" customHeight="1">
      <c r="A222" s="1535" t="s">
        <v>541</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3"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3" customHeight="1">
      <c r="AZ224" s="4"/>
      <c r="BA224" s="3"/>
      <c r="BB224" s="3"/>
      <c r="BQ224" s="34"/>
    </row>
    <row r="225" spans="1:59" ht="13"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592</v>
      </c>
      <c r="AJ226" s="1418"/>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3"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546</v>
      </c>
      <c r="AJ227" s="1418"/>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592</v>
      </c>
      <c r="AJ228" s="1418"/>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592</v>
      </c>
      <c r="AJ229" s="1418"/>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3"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471</v>
      </c>
      <c r="E232" s="4"/>
      <c r="F232" s="4"/>
      <c r="G232" s="4"/>
      <c r="H232" s="4"/>
      <c r="I232" s="4"/>
      <c r="J232" s="4"/>
      <c r="K232" s="4"/>
      <c r="M232" s="1560" t="str">
        <f>H16</f>
        <v>Mira Mesa CIC, LP</v>
      </c>
      <c r="N232" s="1560"/>
      <c r="O232" s="1560"/>
      <c r="P232" s="1560"/>
      <c r="Q232" s="1560"/>
      <c r="R232" s="1560"/>
      <c r="S232" s="1560"/>
      <c r="T232" s="1560"/>
      <c r="U232" s="1560"/>
      <c r="V232" s="1560"/>
      <c r="W232" s="1560"/>
      <c r="X232" s="1560"/>
      <c r="Y232" s="1560"/>
      <c r="Z232" s="1560"/>
      <c r="AA232" s="1560"/>
      <c r="AB232" s="1560"/>
      <c r="AC232" s="1560"/>
      <c r="AD232" s="1560"/>
      <c r="AE232" s="1560"/>
      <c r="AF232" s="1560"/>
      <c r="AG232" s="1560"/>
      <c r="AH232" s="1560"/>
      <c r="AI232" s="1560"/>
      <c r="AJ232" s="1560"/>
      <c r="AK232" s="1560"/>
      <c r="AZ232" s="4"/>
      <c r="BA232" s="3"/>
      <c r="BB232" s="205" t="s">
        <v>539</v>
      </c>
      <c r="BG232" s="241">
        <f>IF(AND(AND($M$249="nonprofit",$M$257="nonprofit",$M$265="for profit")),2,0)</f>
        <v>0</v>
      </c>
    </row>
    <row r="233" spans="1:59" ht="13" customHeight="1">
      <c r="D233" s="4" t="s">
        <v>85</v>
      </c>
      <c r="E233" s="4"/>
      <c r="F233" s="4"/>
      <c r="G233" s="4"/>
      <c r="H233" s="4"/>
      <c r="I233" s="4"/>
      <c r="J233" s="4"/>
      <c r="K233" s="4"/>
      <c r="M233" s="1532" t="s">
        <v>2622</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3" customHeight="1">
      <c r="D234" s="4" t="s">
        <v>581</v>
      </c>
      <c r="E234" s="4"/>
      <c r="M234" s="1532" t="s">
        <v>2623</v>
      </c>
      <c r="N234" s="1525"/>
      <c r="O234" s="1525"/>
      <c r="P234" s="1525"/>
      <c r="Q234" s="1525"/>
      <c r="R234" s="1525"/>
      <c r="S234" s="1525"/>
      <c r="T234" s="1525"/>
      <c r="V234" s="33" t="s">
        <v>86</v>
      </c>
      <c r="W234" s="1493" t="s">
        <v>2624</v>
      </c>
      <c r="X234" s="1474"/>
      <c r="Y234" s="4" t="s">
        <v>584</v>
      </c>
      <c r="AC234" s="1525">
        <v>92011</v>
      </c>
      <c r="AD234" s="1525"/>
      <c r="AE234" s="1525"/>
      <c r="AU234" s="4"/>
      <c r="AV234" s="4"/>
      <c r="AW234" s="4"/>
      <c r="AX234" s="4"/>
      <c r="AY234" s="4"/>
      <c r="AZ234" s="4"/>
      <c r="BB234" s="205" t="s">
        <v>539</v>
      </c>
      <c r="BG234" s="240">
        <f>IF(AND(AND($M$249="for profit",$M$257="nonprofit",$M$265="nonprofit")),2,0)</f>
        <v>0</v>
      </c>
    </row>
    <row r="235" spans="1:59" ht="13" customHeight="1">
      <c r="D235" s="4" t="s">
        <v>87</v>
      </c>
      <c r="E235" s="4"/>
      <c r="F235" s="4"/>
      <c r="G235" s="4"/>
      <c r="H235" s="4"/>
      <c r="I235" s="4"/>
      <c r="J235" s="4"/>
      <c r="K235" s="19"/>
      <c r="M235" s="1532" t="s">
        <v>2625</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3" customHeight="1">
      <c r="D236" s="4" t="s">
        <v>88</v>
      </c>
      <c r="E236" s="4"/>
      <c r="F236" s="4"/>
      <c r="M236" s="1520" t="s">
        <v>2626</v>
      </c>
      <c r="N236" s="1490"/>
      <c r="O236" s="1490"/>
      <c r="P236" s="1490"/>
      <c r="Q236" s="1490"/>
      <c r="R236" s="1490"/>
      <c r="S236" s="4" t="s">
        <v>206</v>
      </c>
      <c r="T236" s="4"/>
      <c r="U236" s="1474"/>
      <c r="V236" s="1474"/>
      <c r="W236" s="1474"/>
      <c r="X236" s="4" t="s">
        <v>89</v>
      </c>
      <c r="Z236" s="1520" t="s">
        <v>2627</v>
      </c>
      <c r="AA236" s="1490"/>
      <c r="AB236" s="1490"/>
      <c r="AC236" s="1490"/>
      <c r="AD236" s="1490"/>
      <c r="AE236" s="1490"/>
      <c r="AU236" s="4"/>
      <c r="AV236" s="4"/>
      <c r="AW236" s="4"/>
      <c r="AX236" s="4"/>
      <c r="AY236" s="4"/>
      <c r="AZ236" s="4"/>
      <c r="BB236" s="204" t="s">
        <v>538</v>
      </c>
      <c r="BG236" s="241">
        <f>IF(AND(AND($M$249="nonprofit",$M$257="nonprofit",$M$265="(select one)")),1,0)</f>
        <v>0</v>
      </c>
    </row>
    <row r="237" spans="1:59" ht="13" customHeight="1">
      <c r="D237" s="4" t="s">
        <v>90</v>
      </c>
      <c r="E237" s="4"/>
      <c r="F237" s="4"/>
      <c r="M237" s="1543" t="s">
        <v>2628</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3" customHeight="1">
      <c r="A238" s="2" t="s">
        <v>587</v>
      </c>
      <c r="C238" s="2" t="s">
        <v>526</v>
      </c>
      <c r="M238" s="1374" t="s">
        <v>529</v>
      </c>
      <c r="N238" s="1374"/>
      <c r="O238" s="1374"/>
      <c r="P238" s="1374"/>
      <c r="Q238" s="1374"/>
      <c r="R238" s="1374"/>
      <c r="S238" s="1374"/>
      <c r="T238" s="1374"/>
      <c r="U238" s="204" t="s">
        <v>907</v>
      </c>
      <c r="V238" s="204"/>
      <c r="W238" s="204"/>
      <c r="X238" s="204"/>
      <c r="Y238" s="204"/>
      <c r="Z238" s="204"/>
      <c r="AA238" s="1545"/>
      <c r="AB238" s="1545"/>
      <c r="AC238" s="1545"/>
      <c r="AD238" s="1545"/>
      <c r="AE238" s="1545"/>
      <c r="AF238" s="1545"/>
      <c r="AG238" s="1545"/>
      <c r="AH238" s="1545"/>
      <c r="AI238" s="1545"/>
      <c r="AJ238" s="1545"/>
      <c r="AK238" s="1545"/>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3" customHeight="1">
      <c r="D239" t="s">
        <v>532</v>
      </c>
      <c r="M239" s="1410"/>
      <c r="N239" s="1410"/>
      <c r="O239" s="1410"/>
      <c r="P239" s="1410"/>
      <c r="Q239" s="1410"/>
      <c r="R239" s="1410"/>
      <c r="S239" s="1410"/>
      <c r="T239" s="1410"/>
      <c r="U239" s="1410"/>
      <c r="V239" s="1410"/>
      <c r="W239" s="1410"/>
      <c r="X239" s="1410"/>
      <c r="Y239" s="1410"/>
      <c r="Z239" s="1410"/>
      <c r="AA239" s="1410"/>
      <c r="AB239" s="1410"/>
      <c r="AC239" s="1410"/>
      <c r="AD239" s="1410"/>
      <c r="AE239" s="1410"/>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3" customHeight="1">
      <c r="D240" s="4"/>
      <c r="BB240" s="204" t="s">
        <v>878</v>
      </c>
      <c r="BG240" s="241">
        <f>IF(AND(AND($M$249="for profit",$M$257="for profit",$M$265="for profit")),3,0)</f>
        <v>0</v>
      </c>
    </row>
    <row r="241" spans="1:67" ht="13"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474</v>
      </c>
      <c r="D243" s="4" t="s">
        <v>533</v>
      </c>
      <c r="E243" s="4"/>
      <c r="F243" s="4"/>
      <c r="G243" s="4"/>
      <c r="H243" s="4"/>
      <c r="I243" s="4"/>
      <c r="J243" s="4"/>
      <c r="K243" s="4"/>
      <c r="L243" s="4"/>
      <c r="M243" s="1546" t="s">
        <v>2629</v>
      </c>
      <c r="N243" s="1547"/>
      <c r="O243" s="1547"/>
      <c r="P243" s="1547"/>
      <c r="Q243" s="1547"/>
      <c r="R243" s="1547"/>
      <c r="S243" s="1547"/>
      <c r="T243" s="1547"/>
      <c r="U243" s="1547"/>
      <c r="V243" s="1547"/>
      <c r="W243" s="1547"/>
      <c r="X243" s="1547"/>
      <c r="Y243" s="1547"/>
      <c r="Z243" s="1547"/>
      <c r="AA243" s="1547"/>
      <c r="AB243" s="1547"/>
      <c r="AC243" s="1547"/>
      <c r="AD243" s="1547"/>
      <c r="AE243" s="1547"/>
      <c r="AF243" s="1547" t="s">
        <v>2630</v>
      </c>
      <c r="AG243" s="1547"/>
      <c r="AH243" s="1547"/>
      <c r="AI243" s="1547"/>
      <c r="AJ243" s="1547"/>
      <c r="AK243" s="1547"/>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32" t="s">
        <v>2631</v>
      </c>
      <c r="N244" s="1532"/>
      <c r="O244" s="1532"/>
      <c r="P244" s="1532"/>
      <c r="Q244" s="1532"/>
      <c r="R244" s="1532"/>
      <c r="S244" s="1532"/>
      <c r="T244" s="1532"/>
      <c r="U244" s="1532"/>
      <c r="V244" s="1532"/>
      <c r="W244" s="1532"/>
      <c r="X244" s="1532"/>
      <c r="Y244" s="1532"/>
      <c r="Z244" s="1532"/>
      <c r="AA244" s="1532"/>
      <c r="AB244" s="1532"/>
      <c r="AC244" s="1532"/>
      <c r="AD244" s="1532"/>
      <c r="AE244" s="1532"/>
      <c r="AF244" s="3" t="s">
        <v>1180</v>
      </c>
      <c r="AL244" s="4"/>
      <c r="AM244" s="4"/>
      <c r="AN244" s="4"/>
      <c r="AO244" s="4"/>
      <c r="AP244" s="4"/>
      <c r="AQ244" s="4"/>
      <c r="AR244" s="4"/>
      <c r="AS244" s="4"/>
      <c r="AT244" s="4"/>
      <c r="BB244" t="s">
        <v>307</v>
      </c>
      <c r="BG244">
        <v>1</v>
      </c>
      <c r="BH244" t="s">
        <v>535</v>
      </c>
    </row>
    <row r="245" spans="1:67" ht="13" customHeight="1">
      <c r="A245" s="19"/>
      <c r="B245" s="4"/>
      <c r="C245" s="4"/>
      <c r="D245" s="4" t="s">
        <v>581</v>
      </c>
      <c r="E245" s="4"/>
      <c r="M245" s="1532" t="s">
        <v>2632</v>
      </c>
      <c r="N245" s="1532"/>
      <c r="O245" s="1532"/>
      <c r="P245" s="1532"/>
      <c r="Q245" s="1532"/>
      <c r="R245" s="1532"/>
      <c r="S245" s="1532"/>
      <c r="T245" s="1532"/>
      <c r="V245" s="33" t="s">
        <v>86</v>
      </c>
      <c r="W245" s="1493" t="s">
        <v>2624</v>
      </c>
      <c r="X245" s="1474"/>
      <c r="Y245" s="4" t="s">
        <v>584</v>
      </c>
      <c r="AC245" s="1525">
        <v>91914</v>
      </c>
      <c r="AD245" s="1525"/>
      <c r="AE245" s="1525"/>
      <c r="AF245" s="3" t="s">
        <v>1181</v>
      </c>
      <c r="AU245" s="4"/>
      <c r="AV245" s="4"/>
      <c r="AW245" s="4"/>
      <c r="AX245" s="4"/>
      <c r="AY245" s="4"/>
      <c r="BB245" s="4" t="s">
        <v>280</v>
      </c>
      <c r="BG245">
        <v>2</v>
      </c>
      <c r="BH245" t="s">
        <v>567</v>
      </c>
      <c r="BO245" s="239" t="str">
        <f>VLOOKUP(BG243,BG244:BH247,2,FALSE)</f>
        <v>Joint Venture</v>
      </c>
    </row>
    <row r="246" spans="1:67" ht="13" customHeight="1">
      <c r="A246" s="19"/>
      <c r="B246" s="4"/>
      <c r="C246" s="4"/>
      <c r="D246" s="4" t="s">
        <v>87</v>
      </c>
      <c r="E246" s="4"/>
      <c r="F246" s="4"/>
      <c r="G246" s="4"/>
      <c r="H246" s="4"/>
      <c r="I246" s="4"/>
      <c r="J246" s="4"/>
      <c r="K246" s="4"/>
      <c r="L246" s="19"/>
      <c r="M246" s="1532" t="s">
        <v>2633</v>
      </c>
      <c r="N246" s="1525"/>
      <c r="O246" s="1525"/>
      <c r="P246" s="1525"/>
      <c r="Q246" s="1525"/>
      <c r="R246" s="1525"/>
      <c r="S246" s="1525"/>
      <c r="T246" s="1525"/>
      <c r="U246" s="1525"/>
      <c r="V246" s="1525"/>
      <c r="W246" s="1525"/>
      <c r="X246" s="1525"/>
      <c r="Y246" s="1525"/>
      <c r="Z246" s="1525"/>
      <c r="AA246" s="1525"/>
      <c r="AB246" s="1525"/>
      <c r="AC246" s="1525"/>
      <c r="AD246" s="1525"/>
      <c r="AE246" s="1525"/>
      <c r="AH246" s="1566">
        <v>1E-3</v>
      </c>
      <c r="AI246" s="1566"/>
      <c r="AJ246" s="1566"/>
      <c r="AK246" s="1566"/>
      <c r="AL246" s="4"/>
      <c r="AM246" s="4"/>
      <c r="AN246" s="4"/>
      <c r="AO246" s="4"/>
      <c r="AP246" s="4"/>
      <c r="AQ246" s="4"/>
      <c r="AR246" s="4"/>
      <c r="AS246" s="4"/>
      <c r="AT246" s="4"/>
      <c r="BB246" s="4" t="s">
        <v>173</v>
      </c>
      <c r="BG246">
        <v>3</v>
      </c>
      <c r="BH246" t="s">
        <v>537</v>
      </c>
      <c r="BN246" s="34"/>
    </row>
    <row r="247" spans="1:67" ht="13" customHeight="1">
      <c r="A247" s="19"/>
      <c r="B247" s="4"/>
      <c r="C247" s="4"/>
      <c r="D247" s="4" t="s">
        <v>88</v>
      </c>
      <c r="E247" s="4"/>
      <c r="F247" s="4"/>
      <c r="M247" s="1520" t="s">
        <v>2634</v>
      </c>
      <c r="N247" s="1490"/>
      <c r="O247" s="1490"/>
      <c r="P247" s="1490"/>
      <c r="Q247" s="1490"/>
      <c r="R247" s="1490"/>
      <c r="S247" s="4" t="s">
        <v>206</v>
      </c>
      <c r="T247" s="4"/>
      <c r="U247" s="1474"/>
      <c r="V247" s="1474"/>
      <c r="W247" s="1474"/>
      <c r="X247" s="4" t="s">
        <v>89</v>
      </c>
      <c r="Z247" s="1490"/>
      <c r="AA247" s="1490"/>
      <c r="AB247" s="1490"/>
      <c r="AC247" s="1490"/>
      <c r="AD247" s="1490"/>
      <c r="AE247" s="1490"/>
      <c r="AU247" s="4"/>
      <c r="AV247" s="4"/>
      <c r="AW247" s="4"/>
      <c r="AX247" s="4"/>
      <c r="AY247" s="4"/>
      <c r="BG247">
        <v>0</v>
      </c>
      <c r="BH247" s="3" t="str">
        <f>""</f>
        <v/>
      </c>
      <c r="BN247" s="34"/>
    </row>
    <row r="248" spans="1:67" ht="13" customHeight="1">
      <c r="A248" s="19"/>
      <c r="B248" s="4"/>
      <c r="C248" s="4"/>
      <c r="D248" s="4" t="s">
        <v>90</v>
      </c>
      <c r="E248" s="4"/>
      <c r="F248" s="4"/>
      <c r="M248" s="1543" t="s">
        <v>2635</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3" customHeight="1">
      <c r="A249" s="13"/>
      <c r="B249" s="4"/>
      <c r="C249" s="56"/>
      <c r="D249" s="4" t="s">
        <v>536</v>
      </c>
      <c r="E249" s="4"/>
      <c r="F249" s="4"/>
      <c r="G249" s="4"/>
      <c r="H249" s="4"/>
      <c r="I249" s="4"/>
      <c r="J249" s="4"/>
      <c r="K249" s="4"/>
      <c r="L249" s="4"/>
      <c r="M249" s="1374" t="s">
        <v>535</v>
      </c>
      <c r="N249" s="1374"/>
      <c r="O249" s="1374"/>
      <c r="P249" s="1374"/>
      <c r="Q249" s="1374"/>
      <c r="R249" s="1374"/>
      <c r="S249" s="1374"/>
      <c r="T249" s="1374"/>
      <c r="U249" s="204" t="s">
        <v>907</v>
      </c>
      <c r="V249" s="204"/>
      <c r="W249" s="204"/>
      <c r="X249" s="204"/>
      <c r="Y249" s="204"/>
      <c r="Z249" s="204"/>
      <c r="AA249" s="1545"/>
      <c r="AB249" s="1545"/>
      <c r="AC249" s="1545"/>
      <c r="AD249" s="1545"/>
      <c r="AE249" s="1545"/>
      <c r="AF249" s="1545"/>
      <c r="AG249" s="1545"/>
      <c r="AH249" s="1545"/>
      <c r="AI249" s="1545"/>
      <c r="AJ249" s="1545"/>
      <c r="AK249" s="1545"/>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956</v>
      </c>
      <c r="E251" s="4"/>
      <c r="F251" s="4"/>
      <c r="G251" s="4"/>
      <c r="H251" s="4"/>
      <c r="I251" s="4"/>
      <c r="J251" s="4"/>
      <c r="K251" s="4"/>
      <c r="L251" s="4"/>
      <c r="M251" s="1546" t="s">
        <v>2636</v>
      </c>
      <c r="N251" s="1547"/>
      <c r="O251" s="1547"/>
      <c r="P251" s="1547"/>
      <c r="Q251" s="1547"/>
      <c r="R251" s="1547"/>
      <c r="S251" s="1547"/>
      <c r="T251" s="1547"/>
      <c r="U251" s="1547"/>
      <c r="V251" s="1547"/>
      <c r="W251" s="1547"/>
      <c r="X251" s="1547"/>
      <c r="Y251" s="1547"/>
      <c r="Z251" s="1547"/>
      <c r="AA251" s="1547"/>
      <c r="AB251" s="1547"/>
      <c r="AC251" s="1547"/>
      <c r="AD251" s="1547"/>
      <c r="AE251" s="1547"/>
      <c r="AF251" s="1547" t="s">
        <v>2637</v>
      </c>
      <c r="AG251" s="1547"/>
      <c r="AH251" s="1547"/>
      <c r="AI251" s="1547"/>
      <c r="AJ251" s="1547"/>
      <c r="AK251" s="1547"/>
      <c r="AU251" s="4"/>
      <c r="AV251" s="4"/>
      <c r="AW251" s="4"/>
      <c r="AX251" s="4"/>
      <c r="AY251" s="4"/>
      <c r="BN251" s="34"/>
    </row>
    <row r="252" spans="1:67" ht="13" customHeight="1">
      <c r="A252" s="19"/>
      <c r="B252" s="4"/>
      <c r="C252" s="4"/>
      <c r="D252" s="4" t="s">
        <v>85</v>
      </c>
      <c r="E252" s="4"/>
      <c r="F252" s="4"/>
      <c r="G252" s="4"/>
      <c r="H252" s="4"/>
      <c r="I252" s="4"/>
      <c r="J252" s="4"/>
      <c r="K252" s="4"/>
      <c r="L252" s="4"/>
      <c r="M252" s="1532" t="s">
        <v>2622</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3" customHeight="1">
      <c r="A253" s="19"/>
      <c r="B253" s="4"/>
      <c r="C253" s="4"/>
      <c r="D253" s="4" t="s">
        <v>581</v>
      </c>
      <c r="E253" s="4"/>
      <c r="M253" s="1532" t="s">
        <v>2623</v>
      </c>
      <c r="N253" s="1525"/>
      <c r="O253" s="1525"/>
      <c r="P253" s="1525"/>
      <c r="Q253" s="1525"/>
      <c r="R253" s="1525"/>
      <c r="S253" s="1525"/>
      <c r="T253" s="1525"/>
      <c r="V253" s="33" t="s">
        <v>86</v>
      </c>
      <c r="W253" s="1493" t="s">
        <v>2624</v>
      </c>
      <c r="X253" s="1474"/>
      <c r="Y253" s="4" t="s">
        <v>584</v>
      </c>
      <c r="AC253" s="1525">
        <v>92011</v>
      </c>
      <c r="AD253" s="1525"/>
      <c r="AE253" s="1525"/>
      <c r="AF253" s="3" t="s">
        <v>1181</v>
      </c>
      <c r="AU253" s="4"/>
      <c r="AV253" s="4"/>
      <c r="AW253" s="4"/>
      <c r="AX253" s="4"/>
      <c r="AY253" s="4"/>
      <c r="BN253" s="34"/>
    </row>
    <row r="254" spans="1:67" ht="13" customHeight="1">
      <c r="A254" s="19"/>
      <c r="B254" s="4"/>
      <c r="C254" s="4"/>
      <c r="D254" s="4" t="s">
        <v>87</v>
      </c>
      <c r="E254" s="4"/>
      <c r="F254" s="4"/>
      <c r="G254" s="4"/>
      <c r="H254" s="4"/>
      <c r="I254" s="4"/>
      <c r="J254" s="4"/>
      <c r="K254" s="4"/>
      <c r="L254" s="19"/>
      <c r="M254" s="1525" t="s">
        <v>2625</v>
      </c>
      <c r="N254" s="1525"/>
      <c r="O254" s="1525"/>
      <c r="P254" s="1525"/>
      <c r="Q254" s="1525"/>
      <c r="R254" s="1525"/>
      <c r="S254" s="1525"/>
      <c r="T254" s="1525"/>
      <c r="U254" s="1525"/>
      <c r="V254" s="1525"/>
      <c r="W254" s="1525"/>
      <c r="X254" s="1525"/>
      <c r="Y254" s="1525"/>
      <c r="Z254" s="1525"/>
      <c r="AA254" s="1525"/>
      <c r="AB254" s="1525"/>
      <c r="AC254" s="1525"/>
      <c r="AD254" s="1525"/>
      <c r="AE254" s="1525"/>
      <c r="AH254" s="1571">
        <v>0.03</v>
      </c>
      <c r="AI254" s="1566"/>
      <c r="AJ254" s="1566"/>
      <c r="AK254" s="1566"/>
      <c r="AL254" s="4"/>
      <c r="AM254" s="4"/>
      <c r="AN254" s="4"/>
      <c r="AO254" s="4"/>
      <c r="AP254" s="4"/>
      <c r="AQ254" s="4"/>
      <c r="AR254" s="4"/>
      <c r="AS254" s="4"/>
      <c r="AT254" s="4"/>
    </row>
    <row r="255" spans="1:67" ht="13" customHeight="1">
      <c r="A255" s="19"/>
      <c r="B255" s="4"/>
      <c r="C255" s="4"/>
      <c r="D255" s="4" t="s">
        <v>88</v>
      </c>
      <c r="E255" s="4"/>
      <c r="F255" s="4"/>
      <c r="M255" s="1490" t="s">
        <v>2626</v>
      </c>
      <c r="N255" s="1490"/>
      <c r="O255" s="1490"/>
      <c r="P255" s="1490"/>
      <c r="Q255" s="1490"/>
      <c r="R255" s="1490"/>
      <c r="S255" s="4" t="s">
        <v>206</v>
      </c>
      <c r="T255" s="4"/>
      <c r="U255" s="1474"/>
      <c r="V255" s="1474"/>
      <c r="W255" s="1474"/>
      <c r="X255" s="4" t="s">
        <v>89</v>
      </c>
      <c r="Z255" s="1490" t="s">
        <v>2627</v>
      </c>
      <c r="AA255" s="1490"/>
      <c r="AB255" s="1490"/>
      <c r="AC255" s="1490"/>
      <c r="AD255" s="1490"/>
      <c r="AE255" s="1490"/>
      <c r="AU255" s="4"/>
      <c r="AV255" s="4"/>
      <c r="AW255" s="4"/>
      <c r="AX255" s="4"/>
      <c r="AY255" s="4"/>
      <c r="BN255" s="34"/>
    </row>
    <row r="256" spans="1:67" ht="13" customHeight="1">
      <c r="A256" s="19"/>
      <c r="B256" s="4"/>
      <c r="C256" s="4"/>
      <c r="D256" s="4" t="s">
        <v>90</v>
      </c>
      <c r="E256" s="4"/>
      <c r="F256" s="4"/>
      <c r="M256" s="1543" t="s">
        <v>2628</v>
      </c>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536</v>
      </c>
      <c r="E257" s="4"/>
      <c r="F257" s="4"/>
      <c r="G257" s="4"/>
      <c r="H257" s="4"/>
      <c r="I257" s="4"/>
      <c r="J257" s="4"/>
      <c r="K257" s="4"/>
      <c r="L257" s="4"/>
      <c r="M257" s="1374" t="s">
        <v>537</v>
      </c>
      <c r="N257" s="1374"/>
      <c r="O257" s="1374"/>
      <c r="P257" s="1374"/>
      <c r="Q257" s="1374"/>
      <c r="R257" s="1374"/>
      <c r="S257" s="1374"/>
      <c r="T257" s="1374"/>
      <c r="U257" s="204" t="s">
        <v>907</v>
      </c>
      <c r="V257" s="204"/>
      <c r="W257" s="204"/>
      <c r="X257" s="204"/>
      <c r="Y257" s="204"/>
      <c r="Z257" s="204"/>
      <c r="AA257" s="1577" t="s">
        <v>2638</v>
      </c>
      <c r="AB257" s="1545"/>
      <c r="AC257" s="1545"/>
      <c r="AD257" s="1545"/>
      <c r="AE257" s="1545"/>
      <c r="AF257" s="1545"/>
      <c r="AG257" s="1545"/>
      <c r="AH257" s="1545"/>
      <c r="AI257" s="1545"/>
      <c r="AJ257" s="1545"/>
      <c r="AK257" s="1545"/>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877</v>
      </c>
      <c r="D259" s="4" t="s">
        <v>533</v>
      </c>
      <c r="E259" s="4"/>
      <c r="F259" s="4"/>
      <c r="G259" s="4"/>
      <c r="H259" s="4"/>
      <c r="I259" s="4"/>
      <c r="J259" s="4"/>
      <c r="K259" s="4"/>
      <c r="L259" s="4"/>
      <c r="M259" s="1546" t="s">
        <v>592</v>
      </c>
      <c r="N259" s="1547"/>
      <c r="O259" s="1547"/>
      <c r="P259" s="1547"/>
      <c r="Q259" s="1547"/>
      <c r="R259" s="1547"/>
      <c r="S259" s="1547"/>
      <c r="T259" s="1547"/>
      <c r="U259" s="1547"/>
      <c r="V259" s="1547"/>
      <c r="W259" s="1547"/>
      <c r="X259" s="1547"/>
      <c r="Y259" s="1547"/>
      <c r="Z259" s="1547"/>
      <c r="AA259" s="1547"/>
      <c r="AB259" s="1547"/>
      <c r="AC259" s="1547"/>
      <c r="AD259" s="1547"/>
      <c r="AE259" s="1547"/>
      <c r="AF259" s="1547" t="s">
        <v>307</v>
      </c>
      <c r="AG259" s="1547"/>
      <c r="AH259" s="1547"/>
      <c r="AI259" s="1547"/>
      <c r="AJ259" s="1547"/>
      <c r="AK259" s="1547"/>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3" customHeight="1">
      <c r="A261" s="13"/>
      <c r="B261" s="4"/>
      <c r="C261" s="4"/>
      <c r="D261" s="4" t="s">
        <v>581</v>
      </c>
      <c r="E261" s="4"/>
      <c r="M261" s="1525"/>
      <c r="N261" s="1525"/>
      <c r="O261" s="1525"/>
      <c r="P261" s="1525"/>
      <c r="Q261" s="1525"/>
      <c r="R261" s="1525"/>
      <c r="S261" s="1525"/>
      <c r="T261" s="1525"/>
      <c r="V261" s="33" t="s">
        <v>86</v>
      </c>
      <c r="W261" s="1474"/>
      <c r="X261" s="1474"/>
      <c r="Y261" s="4" t="s">
        <v>584</v>
      </c>
      <c r="AC261" s="1525"/>
      <c r="AD261" s="1525"/>
      <c r="AE261" s="1525"/>
      <c r="AF261" s="3" t="s">
        <v>1181</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66"/>
      <c r="AI262" s="1566"/>
      <c r="AJ262" s="1566"/>
      <c r="AK262" s="1566"/>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490"/>
      <c r="N263" s="1490"/>
      <c r="O263" s="1490"/>
      <c r="P263" s="1490"/>
      <c r="Q263" s="1490"/>
      <c r="R263" s="1490"/>
      <c r="S263" s="4" t="s">
        <v>206</v>
      </c>
      <c r="T263" s="4"/>
      <c r="U263" s="1474"/>
      <c r="V263" s="1474"/>
      <c r="W263" s="1474"/>
      <c r="X263" s="4" t="s">
        <v>89</v>
      </c>
      <c r="Z263" s="1490"/>
      <c r="AA263" s="1490"/>
      <c r="AB263" s="1490"/>
      <c r="AC263" s="1490"/>
      <c r="AD263" s="1490"/>
      <c r="AE263" s="1490"/>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3"/>
      <c r="N264" s="1543"/>
      <c r="O264" s="1543"/>
      <c r="P264" s="1543"/>
      <c r="Q264" s="1543"/>
      <c r="R264" s="1543"/>
      <c r="S264" s="1543"/>
      <c r="T264" s="1543"/>
      <c r="U264" s="1543"/>
      <c r="V264" s="1543"/>
      <c r="W264" s="1543"/>
      <c r="X264" s="1543"/>
      <c r="Y264" s="1543"/>
      <c r="Z264" s="1543"/>
      <c r="AA264" s="1568"/>
      <c r="AB264" s="1568"/>
      <c r="AC264" s="1568"/>
      <c r="AD264" s="1568"/>
      <c r="AE264" s="1568"/>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536</v>
      </c>
      <c r="E265" s="4"/>
      <c r="F265" s="4"/>
      <c r="G265" s="4"/>
      <c r="H265" s="4"/>
      <c r="I265" s="4"/>
      <c r="J265" s="4"/>
      <c r="K265" s="4"/>
      <c r="L265" s="4"/>
      <c r="M265" s="1374" t="s">
        <v>307</v>
      </c>
      <c r="N265" s="1374"/>
      <c r="O265" s="1374"/>
      <c r="P265" s="1374"/>
      <c r="Q265" s="1374"/>
      <c r="R265" s="1374"/>
      <c r="S265" s="1374"/>
      <c r="T265" s="1374"/>
      <c r="U265" s="204" t="s">
        <v>907</v>
      </c>
      <c r="V265" s="204"/>
      <c r="W265" s="204"/>
      <c r="X265" s="204"/>
      <c r="Y265" s="204"/>
      <c r="Z265" s="204"/>
      <c r="AA265" s="1578"/>
      <c r="AB265" s="1578"/>
      <c r="AC265" s="1578"/>
      <c r="AD265" s="1578"/>
      <c r="AE265" s="1578"/>
      <c r="AF265" s="1578"/>
      <c r="AG265" s="1578"/>
      <c r="AH265" s="1578"/>
      <c r="AI265" s="1578"/>
      <c r="AJ265" s="1578"/>
      <c r="AK265" s="1578"/>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591</v>
      </c>
      <c r="B267" s="4"/>
      <c r="C267" s="2" t="s">
        <v>295</v>
      </c>
      <c r="D267" s="4"/>
      <c r="E267" s="4"/>
      <c r="F267" s="4"/>
      <c r="G267" s="4"/>
      <c r="H267" s="4"/>
      <c r="I267" s="4"/>
      <c r="J267" s="4"/>
      <c r="K267" s="4"/>
      <c r="L267" s="4"/>
      <c r="M267" s="35"/>
      <c r="N267" s="35"/>
      <c r="O267" s="35"/>
      <c r="P267" s="35"/>
      <c r="Q267" s="35"/>
      <c r="T267" s="1579" t="str">
        <f>IFERROR(BO245,"")</f>
        <v>Joint Venture</v>
      </c>
      <c r="U267" s="1579"/>
      <c r="V267" s="1579"/>
      <c r="W267" s="1579"/>
      <c r="X267" s="1579"/>
      <c r="Z267" s="307" t="s">
        <v>955</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3"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3" customHeight="1">
      <c r="A270" s="4"/>
      <c r="B270" s="36">
        <v>0</v>
      </c>
      <c r="D270" s="1525" t="s">
        <v>280</v>
      </c>
      <c r="E270" s="1525"/>
      <c r="F270" s="1525"/>
      <c r="G270" s="1525"/>
      <c r="H270" s="1525"/>
      <c r="J270" t="s">
        <v>279</v>
      </c>
      <c r="X270" s="1501" t="s">
        <v>592</v>
      </c>
      <c r="Y270" s="1501"/>
      <c r="Z270" s="1501"/>
      <c r="AA270" s="1501"/>
      <c r="AB270" s="1501"/>
      <c r="AC270" s="1501"/>
      <c r="AU270" s="3"/>
      <c r="AV270" s="3"/>
      <c r="AW270" s="3"/>
      <c r="AX270" s="3"/>
      <c r="AY270" s="3"/>
    </row>
    <row r="271" spans="1:51"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296</v>
      </c>
      <c r="E274" s="4"/>
      <c r="F274" s="4"/>
      <c r="G274" s="4"/>
      <c r="H274" s="4"/>
      <c r="I274" s="4"/>
      <c r="J274" s="4"/>
      <c r="K274" s="4"/>
      <c r="L274" s="1546" t="s">
        <v>2638</v>
      </c>
      <c r="M274" s="1547"/>
      <c r="N274" s="1547"/>
      <c r="O274" s="1547"/>
      <c r="P274" s="1547"/>
      <c r="Q274" s="1547"/>
      <c r="R274" s="1547"/>
      <c r="S274" s="1547"/>
      <c r="T274" s="1547"/>
      <c r="U274" s="1547"/>
      <c r="V274" s="1547"/>
      <c r="W274" s="1547"/>
      <c r="X274" s="1547"/>
      <c r="Y274" s="1547"/>
      <c r="Z274" s="1547"/>
      <c r="AA274" s="1547"/>
      <c r="AB274" s="1547"/>
      <c r="AC274" s="1547"/>
      <c r="AD274" s="1547"/>
      <c r="AE274" s="1547"/>
      <c r="AF274" s="1547"/>
      <c r="AG274" s="1547"/>
      <c r="AH274" s="1547"/>
      <c r="AI274" s="1547"/>
      <c r="AJ274" s="1547"/>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32" t="s">
        <v>2622</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3" customHeight="1">
      <c r="D276" s="4" t="s">
        <v>581</v>
      </c>
      <c r="E276" s="4"/>
      <c r="L276" s="1532" t="s">
        <v>2623</v>
      </c>
      <c r="M276" s="1525"/>
      <c r="N276" s="1525"/>
      <c r="O276" s="1525"/>
      <c r="P276" s="1525"/>
      <c r="Q276" s="1525"/>
      <c r="R276" s="1525"/>
      <c r="S276" s="1525"/>
      <c r="U276" s="33" t="s">
        <v>86</v>
      </c>
      <c r="V276" s="1493" t="s">
        <v>2624</v>
      </c>
      <c r="W276" s="1474"/>
      <c r="X276" s="4" t="s">
        <v>584</v>
      </c>
      <c r="AB276" s="1525">
        <v>92011</v>
      </c>
      <c r="AC276" s="1525"/>
      <c r="AD276" s="1525"/>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32" t="s">
        <v>2625</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3" customHeight="1">
      <c r="D278" s="4" t="s">
        <v>88</v>
      </c>
      <c r="E278" s="4"/>
      <c r="F278" s="4"/>
      <c r="L278" s="1520" t="s">
        <v>2626</v>
      </c>
      <c r="M278" s="1490"/>
      <c r="N278" s="1490"/>
      <c r="O278" s="1490"/>
      <c r="P278" s="1490"/>
      <c r="Q278" s="1490"/>
      <c r="R278" s="4" t="s">
        <v>206</v>
      </c>
      <c r="S278" s="4"/>
      <c r="T278" s="1474"/>
      <c r="U278" s="1474"/>
      <c r="V278" s="1474"/>
      <c r="W278" s="4" t="s">
        <v>89</v>
      </c>
      <c r="Y278" s="1520" t="s">
        <v>2627</v>
      </c>
      <c r="Z278" s="1490"/>
      <c r="AA278" s="1490"/>
      <c r="AB278" s="1490"/>
      <c r="AC278" s="1490"/>
      <c r="AD278" s="1490"/>
    </row>
    <row r="279" spans="1:51" ht="13" customHeight="1">
      <c r="D279" s="4" t="s">
        <v>90</v>
      </c>
      <c r="E279" s="4"/>
      <c r="F279" s="4"/>
      <c r="L279" s="1543" t="s">
        <v>2628</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3" customHeight="1">
      <c r="D280" s="3" t="s">
        <v>624</v>
      </c>
      <c r="E280" s="3"/>
      <c r="F280" s="3"/>
      <c r="G280" s="3"/>
      <c r="H280" s="3"/>
      <c r="I280" s="3"/>
      <c r="L280" s="1493" t="s">
        <v>2639</v>
      </c>
      <c r="M280" s="1493"/>
      <c r="N280" s="1493"/>
      <c r="O280" s="1493"/>
      <c r="P280" s="1493"/>
      <c r="Q280" s="1493"/>
      <c r="R280" s="1493"/>
      <c r="S280" s="1493"/>
      <c r="T280" s="1493"/>
      <c r="U280" s="1493"/>
      <c r="V280" s="1493"/>
      <c r="W280" s="1493"/>
      <c r="X280" s="1493"/>
      <c r="Y280" s="1493"/>
      <c r="Z280" s="1493"/>
      <c r="AA280" s="1493"/>
      <c r="AB280" s="1493"/>
      <c r="AC280" s="1493"/>
      <c r="AD280" s="1493"/>
      <c r="AK280" s="3"/>
      <c r="AL280" s="3"/>
      <c r="AM280" s="3"/>
      <c r="AN280" s="3"/>
      <c r="AO280" s="3"/>
      <c r="AP280" s="3"/>
      <c r="AQ280" s="3"/>
      <c r="AR280" s="3"/>
      <c r="AS280" s="3"/>
      <c r="AT280" s="3"/>
    </row>
    <row r="281" spans="1:51" ht="13" customHeight="1">
      <c r="L281" s="22" t="s">
        <v>625</v>
      </c>
      <c r="AU281" s="95"/>
      <c r="AV281" s="95"/>
      <c r="AW281" s="95"/>
      <c r="AX281" s="95"/>
      <c r="AY281" s="95"/>
    </row>
    <row r="282" spans="1:51" ht="13" customHeight="1">
      <c r="A282" s="1535" t="s">
        <v>542</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3"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627</v>
      </c>
      <c r="C287" s="3"/>
      <c r="D287" s="3"/>
      <c r="E287" s="3"/>
      <c r="F287" s="3"/>
      <c r="H287" s="1410" t="s">
        <v>2638</v>
      </c>
      <c r="I287" s="1410"/>
      <c r="J287" s="1410"/>
      <c r="K287" s="1410"/>
      <c r="L287" s="1410"/>
      <c r="M287" s="1410"/>
      <c r="N287" s="1410"/>
      <c r="O287" s="1410"/>
      <c r="P287" s="1410"/>
      <c r="Q287" s="1410"/>
      <c r="R287" s="1410"/>
      <c r="T287" s="3" t="s">
        <v>568</v>
      </c>
      <c r="V287" s="3"/>
      <c r="W287" s="3"/>
      <c r="X287" s="3"/>
      <c r="Y287" s="3"/>
      <c r="AA287" s="1410" t="s">
        <v>2642</v>
      </c>
      <c r="AB287" s="1410"/>
      <c r="AC287" s="1410"/>
      <c r="AD287" s="1410"/>
      <c r="AE287" s="1410"/>
      <c r="AF287" s="1410"/>
      <c r="AG287" s="1410"/>
      <c r="AH287" s="1410"/>
      <c r="AI287" s="1410"/>
      <c r="AJ287" s="1410"/>
      <c r="AK287" s="1410"/>
    </row>
    <row r="288" spans="1:51" ht="13" customHeight="1">
      <c r="B288" s="3" t="s">
        <v>472</v>
      </c>
      <c r="C288" s="3"/>
      <c r="D288" s="3"/>
      <c r="E288" s="3"/>
      <c r="F288" s="3"/>
      <c r="H288" s="1374" t="s">
        <v>2640</v>
      </c>
      <c r="I288" s="1374"/>
      <c r="J288" s="1374"/>
      <c r="K288" s="1374"/>
      <c r="L288" s="1374"/>
      <c r="M288" s="1374"/>
      <c r="N288" s="1374"/>
      <c r="O288" s="1374"/>
      <c r="P288" s="1374"/>
      <c r="Q288" s="1374"/>
      <c r="R288" s="1374"/>
      <c r="T288" s="3" t="s">
        <v>472</v>
      </c>
      <c r="V288" s="3"/>
      <c r="W288" s="3"/>
      <c r="X288" s="3"/>
      <c r="Y288" s="3"/>
      <c r="AA288" s="1374" t="s">
        <v>2643</v>
      </c>
      <c r="AB288" s="1374"/>
      <c r="AC288" s="1374"/>
      <c r="AD288" s="1374"/>
      <c r="AE288" s="1374"/>
      <c r="AF288" s="1374"/>
      <c r="AG288" s="1374"/>
      <c r="AH288" s="1374"/>
      <c r="AI288" s="1374"/>
      <c r="AJ288" s="1374"/>
      <c r="AK288" s="1374"/>
    </row>
    <row r="289" spans="2:37" ht="13" customHeight="1">
      <c r="B289" s="3" t="s">
        <v>473</v>
      </c>
      <c r="C289" s="3"/>
      <c r="D289" s="3"/>
      <c r="E289" s="3"/>
      <c r="F289" s="3"/>
      <c r="H289" s="1374" t="s">
        <v>2641</v>
      </c>
      <c r="I289" s="1374"/>
      <c r="J289" s="1374"/>
      <c r="K289" s="1374"/>
      <c r="L289" s="1374"/>
      <c r="M289" s="1374"/>
      <c r="N289" s="1374"/>
      <c r="O289" s="1374"/>
      <c r="P289" s="1374"/>
      <c r="Q289" s="1374"/>
      <c r="R289" s="1374"/>
      <c r="T289" s="3" t="s">
        <v>75</v>
      </c>
      <c r="V289" s="3"/>
      <c r="W289" s="3"/>
      <c r="X289" s="3"/>
      <c r="Y289" s="3"/>
      <c r="AA289" s="1374" t="s">
        <v>2644</v>
      </c>
      <c r="AB289" s="1374"/>
      <c r="AC289" s="1374"/>
      <c r="AD289" s="1374"/>
      <c r="AE289" s="1374"/>
      <c r="AF289" s="1374"/>
      <c r="AG289" s="1374"/>
      <c r="AH289" s="1374"/>
      <c r="AI289" s="1374"/>
      <c r="AJ289" s="1374"/>
      <c r="AK289" s="1374"/>
    </row>
    <row r="290" spans="2:37" ht="13" customHeight="1">
      <c r="B290" s="3" t="s">
        <v>87</v>
      </c>
      <c r="C290" s="3"/>
      <c r="D290" s="3"/>
      <c r="E290" s="3"/>
      <c r="F290" s="3"/>
      <c r="H290" s="1374" t="s">
        <v>2625</v>
      </c>
      <c r="I290" s="1374"/>
      <c r="J290" s="1374"/>
      <c r="K290" s="1374"/>
      <c r="L290" s="1374"/>
      <c r="M290" s="1374"/>
      <c r="N290" s="1374"/>
      <c r="O290" s="1374"/>
      <c r="P290" s="1374"/>
      <c r="Q290" s="1374"/>
      <c r="R290" s="1374"/>
      <c r="T290" s="3" t="s">
        <v>87</v>
      </c>
      <c r="V290" s="3"/>
      <c r="W290" s="3"/>
      <c r="X290" s="3"/>
      <c r="Y290" s="3"/>
      <c r="AA290" s="1374" t="s">
        <v>2645</v>
      </c>
      <c r="AB290" s="1374"/>
      <c r="AC290" s="1374"/>
      <c r="AD290" s="1374"/>
      <c r="AE290" s="1374"/>
      <c r="AF290" s="1374"/>
      <c r="AG290" s="1374"/>
      <c r="AH290" s="1374"/>
      <c r="AI290" s="1374"/>
      <c r="AJ290" s="1374"/>
      <c r="AK290" s="1374"/>
    </row>
    <row r="291" spans="2:37" ht="13" customHeight="1">
      <c r="B291" s="3" t="s">
        <v>88</v>
      </c>
      <c r="C291" s="3"/>
      <c r="D291" s="3"/>
      <c r="E291" s="3"/>
      <c r="F291" s="3"/>
      <c r="G291" s="3"/>
      <c r="H291" s="1569" t="s">
        <v>2626</v>
      </c>
      <c r="I291" s="1569"/>
      <c r="J291" s="1569"/>
      <c r="K291" s="1569"/>
      <c r="L291" s="1569"/>
      <c r="M291" s="1569"/>
      <c r="N291" s="4" t="s">
        <v>206</v>
      </c>
      <c r="O291" s="4"/>
      <c r="P291" s="1525"/>
      <c r="Q291" s="1525"/>
      <c r="R291" s="1525"/>
      <c r="S291" s="3"/>
      <c r="T291" s="3" t="s">
        <v>88</v>
      </c>
      <c r="V291" s="3"/>
      <c r="W291" s="3"/>
      <c r="X291" s="3"/>
      <c r="Y291" s="3"/>
      <c r="AA291" s="1569" t="s">
        <v>2698</v>
      </c>
      <c r="AB291" s="1569"/>
      <c r="AC291" s="1569"/>
      <c r="AD291" s="1569"/>
      <c r="AE291" s="1569"/>
      <c r="AF291" s="1569"/>
      <c r="AG291" s="4" t="s">
        <v>206</v>
      </c>
      <c r="AH291" s="4"/>
      <c r="AI291" s="1525"/>
      <c r="AJ291" s="1525"/>
      <c r="AK291" s="1525"/>
    </row>
    <row r="292" spans="2:37" ht="13" customHeight="1">
      <c r="B292" s="3" t="s">
        <v>89</v>
      </c>
      <c r="C292" s="3"/>
      <c r="D292" s="3"/>
      <c r="E292" s="3"/>
      <c r="F292" s="3"/>
      <c r="G292" s="3"/>
      <c r="H292" s="1490" t="s">
        <v>2627</v>
      </c>
      <c r="I292" s="1490"/>
      <c r="J292" s="1490"/>
      <c r="K292" s="1490"/>
      <c r="L292" s="1490"/>
      <c r="M292" s="1490"/>
      <c r="N292" s="4"/>
      <c r="O292" s="4"/>
      <c r="P292" s="35"/>
      <c r="Q292" s="35"/>
      <c r="R292" s="35"/>
      <c r="S292" s="3"/>
      <c r="T292" s="3" t="s">
        <v>89</v>
      </c>
      <c r="V292" s="3"/>
      <c r="W292" s="3"/>
      <c r="X292" s="3"/>
      <c r="Y292" s="3"/>
      <c r="AA292" s="1490" t="s">
        <v>592</v>
      </c>
      <c r="AB292" s="1490"/>
      <c r="AC292" s="1490"/>
      <c r="AD292" s="1490"/>
      <c r="AE292" s="1490"/>
      <c r="AF292" s="1490"/>
      <c r="AG292" s="4"/>
      <c r="AH292" s="4"/>
      <c r="AI292" s="35"/>
      <c r="AJ292" s="35"/>
      <c r="AK292" s="35"/>
    </row>
    <row r="293" spans="2:37" ht="13" customHeight="1">
      <c r="B293" s="3" t="s">
        <v>76</v>
      </c>
      <c r="C293" s="3"/>
      <c r="D293" s="3"/>
      <c r="E293" s="3"/>
      <c r="F293" s="3"/>
      <c r="G293" s="3"/>
      <c r="H293" s="1374" t="s">
        <v>2628</v>
      </c>
      <c r="I293" s="1374"/>
      <c r="J293" s="1374"/>
      <c r="K293" s="1374"/>
      <c r="L293" s="1374"/>
      <c r="M293" s="1374"/>
      <c r="N293" s="1410"/>
      <c r="O293" s="1410"/>
      <c r="P293" s="1410"/>
      <c r="Q293" s="1410"/>
      <c r="R293" s="1410"/>
      <c r="S293" s="3"/>
      <c r="T293" s="3" t="s">
        <v>76</v>
      </c>
      <c r="V293" s="3"/>
      <c r="W293" s="3"/>
      <c r="X293" s="3"/>
      <c r="Y293" s="3"/>
      <c r="AA293" s="1374" t="s">
        <v>2699</v>
      </c>
      <c r="AB293" s="1374"/>
      <c r="AC293" s="1374"/>
      <c r="AD293" s="1374"/>
      <c r="AE293" s="1374"/>
      <c r="AF293" s="1374"/>
      <c r="AG293" s="1410"/>
      <c r="AH293" s="1410"/>
      <c r="AI293" s="1410"/>
      <c r="AJ293" s="1410"/>
      <c r="AK293" s="1410"/>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323</v>
      </c>
      <c r="C295" s="3"/>
      <c r="D295" s="3"/>
      <c r="E295" s="3"/>
      <c r="F295" s="3"/>
      <c r="H295" s="1410" t="s">
        <v>2646</v>
      </c>
      <c r="I295" s="1410"/>
      <c r="J295" s="1410"/>
      <c r="K295" s="1410"/>
      <c r="L295" s="1410"/>
      <c r="M295" s="1410"/>
      <c r="N295" s="1410"/>
      <c r="O295" s="1410"/>
      <c r="P295" s="1410"/>
      <c r="Q295" s="1410"/>
      <c r="R295" s="1410"/>
      <c r="T295" s="3" t="s">
        <v>364</v>
      </c>
      <c r="V295" s="3"/>
      <c r="W295" s="3"/>
      <c r="X295" s="3"/>
      <c r="Y295" s="3"/>
      <c r="AA295" s="1410" t="s">
        <v>2650</v>
      </c>
      <c r="AB295" s="1410"/>
      <c r="AC295" s="1410"/>
      <c r="AD295" s="1410"/>
      <c r="AE295" s="1410"/>
      <c r="AF295" s="1410"/>
      <c r="AG295" s="1410"/>
      <c r="AH295" s="1410"/>
      <c r="AI295" s="1410"/>
      <c r="AJ295" s="1410"/>
      <c r="AK295" s="1410"/>
    </row>
    <row r="296" spans="2:37" ht="13" customHeight="1">
      <c r="B296" s="3" t="s">
        <v>472</v>
      </c>
      <c r="C296" s="3"/>
      <c r="D296" s="3"/>
      <c r="E296" s="3"/>
      <c r="F296" s="3"/>
      <c r="H296" s="1374" t="s">
        <v>2647</v>
      </c>
      <c r="I296" s="1374"/>
      <c r="J296" s="1374"/>
      <c r="K296" s="1374"/>
      <c r="L296" s="1374"/>
      <c r="M296" s="1374"/>
      <c r="N296" s="1374"/>
      <c r="O296" s="1374"/>
      <c r="P296" s="1374"/>
      <c r="Q296" s="1374"/>
      <c r="R296" s="1374"/>
      <c r="T296" s="3" t="s">
        <v>472</v>
      </c>
      <c r="V296" s="3"/>
      <c r="W296" s="3"/>
      <c r="X296" s="3"/>
      <c r="Y296" s="3"/>
      <c r="AA296" s="1374" t="s">
        <v>2640</v>
      </c>
      <c r="AB296" s="1374"/>
      <c r="AC296" s="1374"/>
      <c r="AD296" s="1374"/>
      <c r="AE296" s="1374"/>
      <c r="AF296" s="1374"/>
      <c r="AG296" s="1374"/>
      <c r="AH296" s="1374"/>
      <c r="AI296" s="1374"/>
      <c r="AJ296" s="1374"/>
      <c r="AK296" s="1374"/>
    </row>
    <row r="297" spans="2:37" ht="13" customHeight="1">
      <c r="B297" s="3" t="s">
        <v>473</v>
      </c>
      <c r="C297" s="3"/>
      <c r="D297" s="3"/>
      <c r="E297" s="3"/>
      <c r="F297" s="3"/>
      <c r="H297" s="1374" t="s">
        <v>2648</v>
      </c>
      <c r="I297" s="1374"/>
      <c r="J297" s="1374"/>
      <c r="K297" s="1374"/>
      <c r="L297" s="1374"/>
      <c r="M297" s="1374"/>
      <c r="N297" s="1374"/>
      <c r="O297" s="1374"/>
      <c r="P297" s="1374"/>
      <c r="Q297" s="1374"/>
      <c r="R297" s="1374"/>
      <c r="T297" s="3" t="s">
        <v>75</v>
      </c>
      <c r="V297" s="3"/>
      <c r="W297" s="3"/>
      <c r="X297" s="3"/>
      <c r="Y297" s="3"/>
      <c r="AA297" s="1374" t="s">
        <v>2641</v>
      </c>
      <c r="AB297" s="1374"/>
      <c r="AC297" s="1374"/>
      <c r="AD297" s="1374"/>
      <c r="AE297" s="1374"/>
      <c r="AF297" s="1374"/>
      <c r="AG297" s="1374"/>
      <c r="AH297" s="1374"/>
      <c r="AI297" s="1374"/>
      <c r="AJ297" s="1374"/>
      <c r="AK297" s="1374"/>
    </row>
    <row r="298" spans="2:37" ht="13" customHeight="1">
      <c r="B298" s="3" t="s">
        <v>87</v>
      </c>
      <c r="C298" s="3"/>
      <c r="D298" s="3"/>
      <c r="E298" s="3"/>
      <c r="F298" s="3"/>
      <c r="H298" s="1374" t="s">
        <v>2649</v>
      </c>
      <c r="I298" s="1374"/>
      <c r="J298" s="1374"/>
      <c r="K298" s="1374"/>
      <c r="L298" s="1374"/>
      <c r="M298" s="1374"/>
      <c r="N298" s="1374"/>
      <c r="O298" s="1374"/>
      <c r="P298" s="1374"/>
      <c r="Q298" s="1374"/>
      <c r="R298" s="1374"/>
      <c r="T298" s="3" t="s">
        <v>87</v>
      </c>
      <c r="V298" s="3"/>
      <c r="W298" s="3"/>
      <c r="X298" s="3"/>
      <c r="Y298" s="3"/>
      <c r="AA298" s="1374" t="s">
        <v>2651</v>
      </c>
      <c r="AB298" s="1374"/>
      <c r="AC298" s="1374"/>
      <c r="AD298" s="1374"/>
      <c r="AE298" s="1374"/>
      <c r="AF298" s="1374"/>
      <c r="AG298" s="1374"/>
      <c r="AH298" s="1374"/>
      <c r="AI298" s="1374"/>
      <c r="AJ298" s="1374"/>
      <c r="AK298" s="1374"/>
    </row>
    <row r="299" spans="2:37" ht="13" customHeight="1">
      <c r="B299" s="3" t="s">
        <v>88</v>
      </c>
      <c r="C299" s="3"/>
      <c r="D299" s="3"/>
      <c r="E299" s="3"/>
      <c r="F299" s="3"/>
      <c r="G299" s="3"/>
      <c r="H299" s="1261" t="s">
        <v>2696</v>
      </c>
      <c r="I299" s="1261"/>
      <c r="J299" s="1261"/>
      <c r="K299" s="1261"/>
      <c r="L299" s="1261"/>
      <c r="M299" s="1261"/>
      <c r="N299" s="4" t="s">
        <v>206</v>
      </c>
      <c r="O299" s="4"/>
      <c r="P299" s="1525"/>
      <c r="Q299" s="1525"/>
      <c r="R299" s="1525"/>
      <c r="S299" s="3"/>
      <c r="T299" s="3" t="s">
        <v>88</v>
      </c>
      <c r="V299" s="3"/>
      <c r="W299" s="3"/>
      <c r="X299" s="3"/>
      <c r="Y299" s="3"/>
      <c r="AA299" s="1569" t="s">
        <v>2626</v>
      </c>
      <c r="AB299" s="1569"/>
      <c r="AC299" s="1569"/>
      <c r="AD299" s="1569"/>
      <c r="AE299" s="1569"/>
      <c r="AF299" s="1569"/>
      <c r="AG299" s="4" t="s">
        <v>206</v>
      </c>
      <c r="AH299" s="4"/>
      <c r="AI299" s="1525"/>
      <c r="AJ299" s="1525"/>
      <c r="AK299" s="1525"/>
    </row>
    <row r="300" spans="2:37" ht="13" customHeight="1">
      <c r="B300" s="3" t="s">
        <v>89</v>
      </c>
      <c r="C300" s="3"/>
      <c r="D300" s="3"/>
      <c r="E300" s="3"/>
      <c r="F300" s="3"/>
      <c r="G300" s="3"/>
      <c r="H300" s="1260" t="s">
        <v>592</v>
      </c>
      <c r="I300" s="1260"/>
      <c r="J300" s="1260"/>
      <c r="K300" s="1260"/>
      <c r="L300" s="1260"/>
      <c r="M300" s="1260"/>
      <c r="N300" s="4"/>
      <c r="O300" s="4"/>
      <c r="P300" s="35"/>
      <c r="Q300" s="35"/>
      <c r="R300" s="35"/>
      <c r="S300" s="3"/>
      <c r="T300" s="3" t="s">
        <v>89</v>
      </c>
      <c r="V300" s="3"/>
      <c r="W300" s="3"/>
      <c r="X300" s="3"/>
      <c r="Y300" s="3"/>
      <c r="AA300" s="1490" t="s">
        <v>2627</v>
      </c>
      <c r="AB300" s="1490"/>
      <c r="AC300" s="1490"/>
      <c r="AD300" s="1490"/>
      <c r="AE300" s="1490"/>
      <c r="AF300" s="1490"/>
      <c r="AG300" s="4"/>
      <c r="AH300" s="4"/>
      <c r="AI300" s="35"/>
      <c r="AJ300" s="35"/>
      <c r="AK300" s="35"/>
    </row>
    <row r="301" spans="2:37" ht="13" customHeight="1">
      <c r="B301" s="3" t="s">
        <v>76</v>
      </c>
      <c r="C301" s="3"/>
      <c r="D301" s="3"/>
      <c r="E301" s="3"/>
      <c r="F301" s="3"/>
      <c r="G301" s="3"/>
      <c r="H301" s="1374" t="s">
        <v>2697</v>
      </c>
      <c r="I301" s="1374"/>
      <c r="J301" s="1374"/>
      <c r="K301" s="1374"/>
      <c r="L301" s="1374"/>
      <c r="M301" s="1374"/>
      <c r="N301" s="1410"/>
      <c r="O301" s="1410"/>
      <c r="P301" s="1410"/>
      <c r="Q301" s="1410"/>
      <c r="R301" s="1410"/>
      <c r="S301" s="3"/>
      <c r="T301" s="3" t="s">
        <v>76</v>
      </c>
      <c r="V301" s="3"/>
      <c r="W301" s="3"/>
      <c r="X301" s="3"/>
      <c r="Y301" s="3"/>
      <c r="AA301" s="1374" t="s">
        <v>2700</v>
      </c>
      <c r="AB301" s="1374"/>
      <c r="AC301" s="1374"/>
      <c r="AD301" s="1374"/>
      <c r="AE301" s="1374"/>
      <c r="AF301" s="1374"/>
      <c r="AG301" s="1410"/>
      <c r="AH301" s="1410"/>
      <c r="AI301" s="1410"/>
      <c r="AJ301" s="1410"/>
      <c r="AK301" s="1410"/>
    </row>
    <row r="302" spans="2:37" ht="13" customHeight="1"/>
    <row r="303" spans="2:37" ht="13" customHeight="1">
      <c r="B303" s="3" t="s">
        <v>77</v>
      </c>
      <c r="C303" s="3"/>
      <c r="D303" s="3"/>
      <c r="E303" s="3"/>
      <c r="F303" s="3"/>
      <c r="H303" s="1410" t="s">
        <v>2652</v>
      </c>
      <c r="I303" s="1410"/>
      <c r="J303" s="1410"/>
      <c r="K303" s="1410"/>
      <c r="L303" s="1410"/>
      <c r="M303" s="1410"/>
      <c r="N303" s="1410"/>
      <c r="O303" s="1410"/>
      <c r="P303" s="1410"/>
      <c r="Q303" s="1410"/>
      <c r="R303" s="1410"/>
      <c r="T303" s="4" t="s">
        <v>879</v>
      </c>
      <c r="V303" s="3"/>
      <c r="W303" s="3"/>
      <c r="X303" s="3"/>
      <c r="Y303" s="3"/>
      <c r="AA303" s="1410" t="s">
        <v>2656</v>
      </c>
      <c r="AB303" s="1410"/>
      <c r="AC303" s="1410"/>
      <c r="AD303" s="1410"/>
      <c r="AE303" s="1410"/>
      <c r="AF303" s="1410"/>
      <c r="AG303" s="1410"/>
      <c r="AH303" s="1410"/>
      <c r="AI303" s="1410"/>
      <c r="AJ303" s="1410"/>
      <c r="AK303" s="1410"/>
    </row>
    <row r="304" spans="2:37" ht="13" customHeight="1">
      <c r="B304" s="3" t="s">
        <v>472</v>
      </c>
      <c r="C304" s="3"/>
      <c r="D304" s="3"/>
      <c r="E304" s="3"/>
      <c r="F304" s="3"/>
      <c r="H304" s="1374" t="s">
        <v>2653</v>
      </c>
      <c r="I304" s="1374"/>
      <c r="J304" s="1374"/>
      <c r="K304" s="1374"/>
      <c r="L304" s="1374"/>
      <c r="M304" s="1374"/>
      <c r="N304" s="1374"/>
      <c r="O304" s="1374"/>
      <c r="P304" s="1374"/>
      <c r="Q304" s="1374"/>
      <c r="R304" s="1374"/>
      <c r="T304" s="3" t="s">
        <v>472</v>
      </c>
      <c r="V304" s="3"/>
      <c r="W304" s="3"/>
      <c r="X304" s="3"/>
      <c r="Y304" s="3"/>
      <c r="AA304" s="1374" t="s">
        <v>2657</v>
      </c>
      <c r="AB304" s="1374"/>
      <c r="AC304" s="1374"/>
      <c r="AD304" s="1374"/>
      <c r="AE304" s="1374"/>
      <c r="AF304" s="1374"/>
      <c r="AG304" s="1374"/>
      <c r="AH304" s="1374"/>
      <c r="AI304" s="1374"/>
      <c r="AJ304" s="1374"/>
      <c r="AK304" s="1374"/>
    </row>
    <row r="305" spans="2:37" ht="13" customHeight="1">
      <c r="B305" s="3" t="s">
        <v>473</v>
      </c>
      <c r="C305" s="3"/>
      <c r="D305" s="3"/>
      <c r="E305" s="3"/>
      <c r="F305" s="3"/>
      <c r="H305" s="1374" t="s">
        <v>2654</v>
      </c>
      <c r="I305" s="1374"/>
      <c r="J305" s="1374"/>
      <c r="K305" s="1374"/>
      <c r="L305" s="1374"/>
      <c r="M305" s="1374"/>
      <c r="N305" s="1374"/>
      <c r="O305" s="1374"/>
      <c r="P305" s="1374"/>
      <c r="Q305" s="1374"/>
      <c r="R305" s="1374"/>
      <c r="T305" s="3" t="s">
        <v>75</v>
      </c>
      <c r="V305" s="3"/>
      <c r="W305" s="3"/>
      <c r="X305" s="3"/>
      <c r="Y305" s="3"/>
      <c r="AA305" s="1374" t="s">
        <v>2658</v>
      </c>
      <c r="AB305" s="1374"/>
      <c r="AC305" s="1374"/>
      <c r="AD305" s="1374"/>
      <c r="AE305" s="1374"/>
      <c r="AF305" s="1374"/>
      <c r="AG305" s="1374"/>
      <c r="AH305" s="1374"/>
      <c r="AI305" s="1374"/>
      <c r="AJ305" s="1374"/>
      <c r="AK305" s="1374"/>
    </row>
    <row r="306" spans="2:37" ht="13" customHeight="1">
      <c r="B306" s="3" t="s">
        <v>87</v>
      </c>
      <c r="C306" s="3"/>
      <c r="D306" s="3"/>
      <c r="E306" s="3"/>
      <c r="F306" s="3"/>
      <c r="H306" s="1493" t="s">
        <v>2655</v>
      </c>
      <c r="I306" s="1374"/>
      <c r="J306" s="1374"/>
      <c r="K306" s="1374"/>
      <c r="L306" s="1374"/>
      <c r="M306" s="1374"/>
      <c r="N306" s="1374"/>
      <c r="O306" s="1374"/>
      <c r="P306" s="1374"/>
      <c r="Q306" s="1374"/>
      <c r="R306" s="1374"/>
      <c r="T306" s="3" t="s">
        <v>87</v>
      </c>
      <c r="V306" s="3"/>
      <c r="W306" s="3"/>
      <c r="X306" s="3"/>
      <c r="Y306" s="3"/>
      <c r="AA306" s="1374" t="s">
        <v>2659</v>
      </c>
      <c r="AB306" s="1374"/>
      <c r="AC306" s="1374"/>
      <c r="AD306" s="1374"/>
      <c r="AE306" s="1374"/>
      <c r="AF306" s="1374"/>
      <c r="AG306" s="1374"/>
      <c r="AH306" s="1374"/>
      <c r="AI306" s="1374"/>
      <c r="AJ306" s="1374"/>
      <c r="AK306" s="1374"/>
    </row>
    <row r="307" spans="2:37" ht="13" customHeight="1">
      <c r="B307" s="3" t="s">
        <v>88</v>
      </c>
      <c r="C307" s="3"/>
      <c r="D307" s="3"/>
      <c r="E307" s="3"/>
      <c r="F307" s="3"/>
      <c r="G307" s="3"/>
      <c r="H307" s="1541" t="s">
        <v>2691</v>
      </c>
      <c r="I307" s="1569"/>
      <c r="J307" s="1569"/>
      <c r="K307" s="1569"/>
      <c r="L307" s="1569"/>
      <c r="M307" s="1569"/>
      <c r="N307" s="4" t="s">
        <v>206</v>
      </c>
      <c r="O307" s="4"/>
      <c r="P307" s="1525"/>
      <c r="Q307" s="1525"/>
      <c r="R307" s="1525"/>
      <c r="S307" s="3"/>
      <c r="T307" s="3" t="s">
        <v>88</v>
      </c>
      <c r="V307" s="3"/>
      <c r="W307" s="3"/>
      <c r="X307" s="3"/>
      <c r="Y307" s="3"/>
      <c r="AA307" s="1541" t="s">
        <v>2694</v>
      </c>
      <c r="AB307" s="1569"/>
      <c r="AC307" s="1569"/>
      <c r="AD307" s="1569"/>
      <c r="AE307" s="1569"/>
      <c r="AF307" s="1569"/>
      <c r="AG307" s="4" t="s">
        <v>206</v>
      </c>
      <c r="AH307" s="4"/>
      <c r="AI307" s="1525"/>
      <c r="AJ307" s="1525"/>
      <c r="AK307" s="1525"/>
    </row>
    <row r="308" spans="2:37" ht="13" customHeight="1">
      <c r="B308" s="3" t="s">
        <v>89</v>
      </c>
      <c r="C308" s="3"/>
      <c r="D308" s="3"/>
      <c r="E308" s="3"/>
      <c r="F308" s="3"/>
      <c r="G308" s="3"/>
      <c r="H308" s="1520" t="s">
        <v>2692</v>
      </c>
      <c r="I308" s="1490"/>
      <c r="J308" s="1490"/>
      <c r="K308" s="1490"/>
      <c r="L308" s="1490"/>
      <c r="M308" s="1490"/>
      <c r="N308" s="4"/>
      <c r="O308" s="4"/>
      <c r="P308" s="35"/>
      <c r="Q308" s="35"/>
      <c r="R308" s="35"/>
      <c r="S308" s="3"/>
      <c r="T308" s="3" t="s">
        <v>89</v>
      </c>
      <c r="V308" s="3"/>
      <c r="W308" s="3"/>
      <c r="X308" s="3"/>
      <c r="Y308" s="3"/>
      <c r="AA308" s="1520" t="s">
        <v>592</v>
      </c>
      <c r="AB308" s="1490"/>
      <c r="AC308" s="1490"/>
      <c r="AD308" s="1490"/>
      <c r="AE308" s="1490"/>
      <c r="AF308" s="1490"/>
      <c r="AG308" s="4"/>
      <c r="AH308" s="4"/>
      <c r="AI308" s="35"/>
      <c r="AJ308" s="35"/>
      <c r="AK308" s="35"/>
    </row>
    <row r="309" spans="2:37" ht="13" customHeight="1">
      <c r="B309" s="3" t="s">
        <v>76</v>
      </c>
      <c r="C309" s="3"/>
      <c r="D309" s="3"/>
      <c r="E309" s="3"/>
      <c r="F309" s="3"/>
      <c r="G309" s="3"/>
      <c r="H309" s="1374" t="s">
        <v>2693</v>
      </c>
      <c r="I309" s="1374"/>
      <c r="J309" s="1374"/>
      <c r="K309" s="1374"/>
      <c r="L309" s="1374"/>
      <c r="M309" s="1374"/>
      <c r="N309" s="1410"/>
      <c r="O309" s="1410"/>
      <c r="P309" s="1410"/>
      <c r="Q309" s="1410"/>
      <c r="R309" s="1410"/>
      <c r="S309" s="3"/>
      <c r="T309" s="3" t="s">
        <v>76</v>
      </c>
      <c r="V309" s="3"/>
      <c r="W309" s="3"/>
      <c r="X309" s="3"/>
      <c r="Y309" s="3"/>
      <c r="AA309" s="1374" t="s">
        <v>2695</v>
      </c>
      <c r="AB309" s="1374"/>
      <c r="AC309" s="1374"/>
      <c r="AD309" s="1374"/>
      <c r="AE309" s="1374"/>
      <c r="AF309" s="1374"/>
      <c r="AG309" s="1410"/>
      <c r="AH309" s="1410"/>
      <c r="AI309" s="1410"/>
      <c r="AJ309" s="1410"/>
      <c r="AK309" s="1410"/>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908</v>
      </c>
      <c r="C311" s="3"/>
      <c r="D311" s="3"/>
      <c r="E311" s="3"/>
      <c r="F311" s="3"/>
      <c r="H311" s="1262" t="s">
        <v>2660</v>
      </c>
      <c r="I311" s="1262"/>
      <c r="J311" s="1262"/>
      <c r="K311" s="1262"/>
      <c r="L311" s="1262"/>
      <c r="M311" s="1262"/>
      <c r="N311" s="1262"/>
      <c r="O311" s="1262"/>
      <c r="P311" s="1262"/>
      <c r="Q311" s="1262"/>
      <c r="R311" s="1262"/>
      <c r="S311" s="3"/>
      <c r="T311" s="3" t="s">
        <v>365</v>
      </c>
      <c r="V311" s="3"/>
      <c r="W311" s="3"/>
      <c r="X311" s="3"/>
      <c r="Y311" s="3"/>
      <c r="AA311" s="1410" t="s">
        <v>2664</v>
      </c>
      <c r="AB311" s="1410"/>
      <c r="AC311" s="1410"/>
      <c r="AD311" s="1410"/>
      <c r="AE311" s="1410"/>
      <c r="AF311" s="1410"/>
      <c r="AG311" s="1410"/>
      <c r="AH311" s="1410"/>
      <c r="AI311" s="1410"/>
      <c r="AJ311" s="1410"/>
      <c r="AK311" s="1410"/>
    </row>
    <row r="312" spans="2:37" ht="13" customHeight="1">
      <c r="B312" s="3" t="s">
        <v>472</v>
      </c>
      <c r="C312" s="3"/>
      <c r="D312" s="3"/>
      <c r="E312" s="3"/>
      <c r="F312" s="3"/>
      <c r="H312" s="251" t="s">
        <v>2661</v>
      </c>
      <c r="I312" s="251"/>
      <c r="J312" s="251"/>
      <c r="K312" s="251"/>
      <c r="L312" s="251"/>
      <c r="M312" s="251"/>
      <c r="N312" s="251"/>
      <c r="O312" s="251"/>
      <c r="P312" s="251"/>
      <c r="Q312" s="251"/>
      <c r="R312" s="251"/>
      <c r="S312" s="3"/>
      <c r="T312" s="3" t="s">
        <v>472</v>
      </c>
      <c r="V312" s="3"/>
      <c r="W312" s="3"/>
      <c r="X312" s="3"/>
      <c r="Y312" s="3"/>
      <c r="AA312" s="1374" t="s">
        <v>2665</v>
      </c>
      <c r="AB312" s="1374"/>
      <c r="AC312" s="1374"/>
      <c r="AD312" s="1374"/>
      <c r="AE312" s="1374"/>
      <c r="AF312" s="1374"/>
      <c r="AG312" s="1374"/>
      <c r="AH312" s="1374"/>
      <c r="AI312" s="1374"/>
      <c r="AJ312" s="1374"/>
      <c r="AK312" s="1374"/>
    </row>
    <row r="313" spans="2:37" ht="13" customHeight="1">
      <c r="B313" s="3" t="s">
        <v>473</v>
      </c>
      <c r="C313" s="3"/>
      <c r="D313" s="3"/>
      <c r="E313" s="3"/>
      <c r="F313" s="3"/>
      <c r="H313" s="251" t="s">
        <v>2662</v>
      </c>
      <c r="I313" s="251"/>
      <c r="J313" s="251"/>
      <c r="K313" s="251"/>
      <c r="L313" s="251"/>
      <c r="M313" s="251"/>
      <c r="N313" s="251"/>
      <c r="O313" s="251"/>
      <c r="P313" s="251"/>
      <c r="Q313" s="251"/>
      <c r="R313" s="251"/>
      <c r="S313" s="3"/>
      <c r="T313" s="3" t="s">
        <v>75</v>
      </c>
      <c r="V313" s="3"/>
      <c r="W313" s="3"/>
      <c r="X313" s="3"/>
      <c r="Y313" s="3"/>
      <c r="AA313" s="1374" t="s">
        <v>2666</v>
      </c>
      <c r="AB313" s="1374"/>
      <c r="AC313" s="1374"/>
      <c r="AD313" s="1374"/>
      <c r="AE313" s="1374"/>
      <c r="AF313" s="1374"/>
      <c r="AG313" s="1374"/>
      <c r="AH313" s="1374"/>
      <c r="AI313" s="1374"/>
      <c r="AJ313" s="1374"/>
      <c r="AK313" s="1374"/>
    </row>
    <row r="314" spans="2:37" ht="13" customHeight="1">
      <c r="B314" s="3" t="s">
        <v>87</v>
      </c>
      <c r="C314" s="3"/>
      <c r="D314" s="3"/>
      <c r="E314" s="3"/>
      <c r="F314" s="3"/>
      <c r="H314" s="251" t="s">
        <v>2663</v>
      </c>
      <c r="I314" s="251"/>
      <c r="J314" s="251"/>
      <c r="K314" s="251"/>
      <c r="L314" s="251"/>
      <c r="M314" s="251"/>
      <c r="N314" s="251"/>
      <c r="O314" s="251"/>
      <c r="P314" s="251"/>
      <c r="Q314" s="251"/>
      <c r="R314" s="251"/>
      <c r="S314" s="3"/>
      <c r="T314" s="3" t="s">
        <v>87</v>
      </c>
      <c r="V314" s="3"/>
      <c r="W314" s="3"/>
      <c r="X314" s="3"/>
      <c r="Y314" s="3"/>
      <c r="AA314" s="1374" t="s">
        <v>2667</v>
      </c>
      <c r="AB314" s="1374"/>
      <c r="AC314" s="1374"/>
      <c r="AD314" s="1374"/>
      <c r="AE314" s="1374"/>
      <c r="AF314" s="1374"/>
      <c r="AG314" s="1374"/>
      <c r="AH314" s="1374"/>
      <c r="AI314" s="1374"/>
      <c r="AJ314" s="1374"/>
      <c r="AK314" s="1374"/>
    </row>
    <row r="315" spans="2:37" ht="13" customHeight="1">
      <c r="B315" s="3" t="s">
        <v>88</v>
      </c>
      <c r="C315" s="3"/>
      <c r="D315" s="3"/>
      <c r="E315" s="3"/>
      <c r="F315" s="3"/>
      <c r="G315" s="3"/>
      <c r="H315" s="1541" t="s">
        <v>2688</v>
      </c>
      <c r="I315" s="1569"/>
      <c r="J315" s="1569"/>
      <c r="K315" s="1569"/>
      <c r="L315" s="1569"/>
      <c r="M315" s="1569"/>
      <c r="N315" s="4" t="s">
        <v>206</v>
      </c>
      <c r="O315" s="4"/>
      <c r="P315" s="1525"/>
      <c r="Q315" s="1525"/>
      <c r="R315" s="1525"/>
      <c r="S315" s="3"/>
      <c r="T315" s="3" t="s">
        <v>88</v>
      </c>
      <c r="V315" s="3"/>
      <c r="W315" s="3"/>
      <c r="X315" s="3"/>
      <c r="Y315" s="3"/>
      <c r="AA315" s="1541" t="s">
        <v>2668</v>
      </c>
      <c r="AB315" s="1569"/>
      <c r="AC315" s="1569"/>
      <c r="AD315" s="1569"/>
      <c r="AE315" s="1569"/>
      <c r="AF315" s="1569"/>
      <c r="AG315" s="4" t="s">
        <v>206</v>
      </c>
      <c r="AH315" s="4"/>
      <c r="AI315" s="1525"/>
      <c r="AJ315" s="1525"/>
      <c r="AK315" s="1525"/>
    </row>
    <row r="316" spans="2:37" ht="13" customHeight="1">
      <c r="B316" s="3" t="s">
        <v>89</v>
      </c>
      <c r="C316" s="3"/>
      <c r="D316" s="3"/>
      <c r="E316" s="3"/>
      <c r="F316" s="3"/>
      <c r="G316" s="3"/>
      <c r="H316" s="1520" t="s">
        <v>2689</v>
      </c>
      <c r="I316" s="1490"/>
      <c r="J316" s="1490"/>
      <c r="K316" s="1490"/>
      <c r="L316" s="1490"/>
      <c r="M316" s="1490"/>
      <c r="N316" s="4"/>
      <c r="O316" s="4"/>
      <c r="P316" s="35"/>
      <c r="Q316" s="35"/>
      <c r="R316" s="35"/>
      <c r="S316" s="3"/>
      <c r="T316" s="3" t="s">
        <v>89</v>
      </c>
      <c r="V316" s="3"/>
      <c r="W316" s="3"/>
      <c r="X316" s="3"/>
      <c r="Y316" s="3"/>
      <c r="AA316" s="1520" t="s">
        <v>592</v>
      </c>
      <c r="AB316" s="1490"/>
      <c r="AC316" s="1490"/>
      <c r="AD316" s="1490"/>
      <c r="AE316" s="1490"/>
      <c r="AF316" s="1490"/>
      <c r="AG316" s="4"/>
      <c r="AH316" s="4"/>
      <c r="AI316" s="35"/>
      <c r="AJ316" s="35"/>
      <c r="AK316" s="35"/>
    </row>
    <row r="317" spans="2:37" ht="13" customHeight="1">
      <c r="B317" s="3" t="s">
        <v>76</v>
      </c>
      <c r="C317" s="3"/>
      <c r="D317" s="3"/>
      <c r="E317" s="3"/>
      <c r="F317" s="3"/>
      <c r="G317" s="3"/>
      <c r="H317" s="1374" t="s">
        <v>2690</v>
      </c>
      <c r="I317" s="1374"/>
      <c r="J317" s="1374"/>
      <c r="K317" s="1374"/>
      <c r="L317" s="1374"/>
      <c r="M317" s="1374"/>
      <c r="N317" s="1410"/>
      <c r="O317" s="1410"/>
      <c r="P317" s="1410"/>
      <c r="Q317" s="1410"/>
      <c r="R317" s="1410"/>
      <c r="S317" s="3"/>
      <c r="T317" s="3" t="s">
        <v>76</v>
      </c>
      <c r="V317" s="3"/>
      <c r="W317" s="3"/>
      <c r="X317" s="3"/>
      <c r="Y317" s="3"/>
      <c r="AA317" s="1374" t="s">
        <v>2669</v>
      </c>
      <c r="AB317" s="1374"/>
      <c r="AC317" s="1374"/>
      <c r="AD317" s="1374"/>
      <c r="AE317" s="1374"/>
      <c r="AF317" s="1374"/>
      <c r="AG317" s="1410"/>
      <c r="AH317" s="1410"/>
      <c r="AI317" s="1410"/>
      <c r="AJ317" s="1410"/>
      <c r="AK317" s="1410"/>
    </row>
    <row r="318" spans="2:37" ht="13" customHeight="1"/>
    <row r="319" spans="2:37" ht="13" customHeight="1">
      <c r="B319" s="4" t="s">
        <v>909</v>
      </c>
      <c r="C319" s="3"/>
      <c r="D319" s="3"/>
      <c r="E319" s="3"/>
      <c r="F319" s="3"/>
      <c r="H319" s="1410"/>
      <c r="I319" s="1410"/>
      <c r="J319" s="1410"/>
      <c r="K319" s="1410"/>
      <c r="L319" s="1410"/>
      <c r="M319" s="1410"/>
      <c r="N319" s="1410"/>
      <c r="O319" s="1410"/>
      <c r="P319" s="1410"/>
      <c r="Q319" s="1410"/>
      <c r="R319" s="1410"/>
      <c r="T319" s="3" t="s">
        <v>366</v>
      </c>
      <c r="V319" s="3"/>
      <c r="W319" s="3"/>
      <c r="X319" s="3"/>
      <c r="Y319" s="3"/>
      <c r="AA319" s="1262" t="s">
        <v>2670</v>
      </c>
      <c r="AB319" s="1262"/>
      <c r="AC319" s="1262"/>
      <c r="AD319" s="1262"/>
      <c r="AE319" s="1262"/>
      <c r="AF319" s="1262"/>
      <c r="AG319" s="1262"/>
      <c r="AH319" s="1262"/>
      <c r="AI319" s="1262"/>
      <c r="AJ319" s="1262"/>
      <c r="AK319" s="1262"/>
    </row>
    <row r="320" spans="2:37" ht="13" customHeight="1">
      <c r="B320" s="3" t="s">
        <v>472</v>
      </c>
      <c r="C320" s="3"/>
      <c r="D320" s="3"/>
      <c r="E320" s="3"/>
      <c r="F320" s="3"/>
      <c r="H320" s="1374"/>
      <c r="I320" s="1374"/>
      <c r="J320" s="1374"/>
      <c r="K320" s="1374"/>
      <c r="L320" s="1374"/>
      <c r="M320" s="1374"/>
      <c r="N320" s="1374"/>
      <c r="O320" s="1374"/>
      <c r="P320" s="1374"/>
      <c r="Q320" s="1374"/>
      <c r="R320" s="1374"/>
      <c r="T320" s="3" t="s">
        <v>472</v>
      </c>
      <c r="V320" s="3"/>
      <c r="W320" s="3"/>
      <c r="X320" s="3"/>
      <c r="Y320" s="3"/>
      <c r="AA320" s="251" t="s">
        <v>2671</v>
      </c>
      <c r="AB320" s="251"/>
      <c r="AC320" s="251"/>
      <c r="AD320" s="251"/>
      <c r="AE320" s="251"/>
      <c r="AF320" s="251"/>
      <c r="AG320" s="251"/>
      <c r="AH320" s="251"/>
      <c r="AI320" s="251"/>
      <c r="AJ320" s="251"/>
      <c r="AK320" s="251"/>
    </row>
    <row r="321" spans="2:37" ht="13" customHeight="1">
      <c r="B321" s="3" t="s">
        <v>473</v>
      </c>
      <c r="C321" s="3"/>
      <c r="D321" s="3"/>
      <c r="E321" s="3"/>
      <c r="F321" s="3"/>
      <c r="H321" s="1374"/>
      <c r="I321" s="1374"/>
      <c r="J321" s="1374"/>
      <c r="K321" s="1374"/>
      <c r="L321" s="1374"/>
      <c r="M321" s="1374"/>
      <c r="N321" s="1374"/>
      <c r="O321" s="1374"/>
      <c r="P321" s="1374"/>
      <c r="Q321" s="1374"/>
      <c r="R321" s="1374"/>
      <c r="T321" s="3" t="s">
        <v>75</v>
      </c>
      <c r="V321" s="3"/>
      <c r="W321" s="3"/>
      <c r="X321" s="3"/>
      <c r="Y321" s="3"/>
      <c r="AA321" s="251" t="s">
        <v>2672</v>
      </c>
      <c r="AB321" s="251"/>
      <c r="AC321" s="251"/>
      <c r="AD321" s="251"/>
      <c r="AE321" s="251"/>
      <c r="AF321" s="251"/>
      <c r="AG321" s="251"/>
      <c r="AH321" s="251"/>
      <c r="AI321" s="251"/>
      <c r="AJ321" s="251"/>
      <c r="AK321" s="251"/>
    </row>
    <row r="322" spans="2:37" ht="13" customHeight="1">
      <c r="B322" s="3" t="s">
        <v>87</v>
      </c>
      <c r="C322" s="3"/>
      <c r="D322" s="3"/>
      <c r="E322" s="3"/>
      <c r="F322" s="3"/>
      <c r="H322" s="1374"/>
      <c r="I322" s="1374"/>
      <c r="J322" s="1374"/>
      <c r="K322" s="1374"/>
      <c r="L322" s="1374"/>
      <c r="M322" s="1374"/>
      <c r="N322" s="1374"/>
      <c r="O322" s="1374"/>
      <c r="P322" s="1374"/>
      <c r="Q322" s="1374"/>
      <c r="R322" s="1374"/>
      <c r="T322" s="3" t="s">
        <v>87</v>
      </c>
      <c r="V322" s="3"/>
      <c r="W322" s="3"/>
      <c r="X322" s="3"/>
      <c r="Y322" s="3"/>
      <c r="AA322" s="251" t="s">
        <v>2673</v>
      </c>
      <c r="AB322" s="251"/>
      <c r="AC322" s="251"/>
      <c r="AD322" s="251"/>
      <c r="AE322" s="251"/>
      <c r="AF322" s="251"/>
      <c r="AG322" s="251"/>
      <c r="AH322" s="251"/>
      <c r="AI322" s="251"/>
      <c r="AJ322" s="251"/>
      <c r="AK322" s="251"/>
    </row>
    <row r="323" spans="2:37" ht="13" customHeight="1">
      <c r="B323" s="3" t="s">
        <v>88</v>
      </c>
      <c r="C323" s="3"/>
      <c r="D323" s="3"/>
      <c r="E323" s="3"/>
      <c r="F323" s="3"/>
      <c r="G323" s="3"/>
      <c r="H323" s="1569"/>
      <c r="I323" s="1569"/>
      <c r="J323" s="1569"/>
      <c r="K323" s="1569"/>
      <c r="L323" s="1569"/>
      <c r="M323" s="1569"/>
      <c r="N323" s="4" t="s">
        <v>206</v>
      </c>
      <c r="O323" s="4"/>
      <c r="P323" s="1525"/>
      <c r="Q323" s="1525"/>
      <c r="R323" s="1525"/>
      <c r="S323" s="3"/>
      <c r="T323" s="3" t="s">
        <v>88</v>
      </c>
      <c r="V323" s="3"/>
      <c r="W323" s="3"/>
      <c r="X323" s="3"/>
      <c r="Y323" s="3"/>
      <c r="AA323" s="1541" t="s">
        <v>2674</v>
      </c>
      <c r="AB323" s="1569"/>
      <c r="AC323" s="1569"/>
      <c r="AD323" s="1569"/>
      <c r="AE323" s="1569"/>
      <c r="AF323" s="1569"/>
      <c r="AG323" s="4" t="s">
        <v>206</v>
      </c>
      <c r="AH323" s="4"/>
      <c r="AI323" s="1525"/>
      <c r="AJ323" s="1525"/>
      <c r="AK323" s="1525"/>
    </row>
    <row r="324" spans="2:37" ht="13" customHeight="1">
      <c r="B324" s="3" t="s">
        <v>89</v>
      </c>
      <c r="C324" s="3"/>
      <c r="D324" s="3"/>
      <c r="E324" s="3"/>
      <c r="F324" s="3"/>
      <c r="G324" s="3"/>
      <c r="H324" s="1490"/>
      <c r="I324" s="1490"/>
      <c r="J324" s="1490"/>
      <c r="K324" s="1490"/>
      <c r="L324" s="1490"/>
      <c r="M324" s="1490"/>
      <c r="N324" s="4"/>
      <c r="O324" s="4"/>
      <c r="P324" s="35"/>
      <c r="Q324" s="35"/>
      <c r="R324" s="35"/>
      <c r="S324" s="3"/>
      <c r="T324" s="3" t="s">
        <v>89</v>
      </c>
      <c r="V324" s="3"/>
      <c r="W324" s="3"/>
      <c r="X324" s="3"/>
      <c r="Y324" s="3"/>
      <c r="AA324" s="1520" t="s">
        <v>592</v>
      </c>
      <c r="AB324" s="1490"/>
      <c r="AC324" s="1490"/>
      <c r="AD324" s="1490"/>
      <c r="AE324" s="1490"/>
      <c r="AF324" s="1490"/>
      <c r="AG324" s="4"/>
      <c r="AH324" s="4"/>
      <c r="AI324" s="35"/>
      <c r="AJ324" s="35"/>
      <c r="AK324" s="35"/>
    </row>
    <row r="325" spans="2:37" ht="13" customHeight="1">
      <c r="B325" s="3" t="s">
        <v>76</v>
      </c>
      <c r="C325" s="3"/>
      <c r="D325" s="3"/>
      <c r="E325" s="3"/>
      <c r="F325" s="3"/>
      <c r="G325" s="3"/>
      <c r="H325" s="1374"/>
      <c r="I325" s="1374"/>
      <c r="J325" s="1374"/>
      <c r="K325" s="1374"/>
      <c r="L325" s="1374"/>
      <c r="M325" s="1374"/>
      <c r="N325" s="1410"/>
      <c r="O325" s="1410"/>
      <c r="P325" s="1410"/>
      <c r="Q325" s="1410"/>
      <c r="R325" s="1410"/>
      <c r="S325" s="3"/>
      <c r="T325" s="3" t="s">
        <v>76</v>
      </c>
      <c r="V325" s="3"/>
      <c r="W325" s="3"/>
      <c r="X325" s="3"/>
      <c r="Y325" s="3"/>
      <c r="AA325" s="1374" t="s">
        <v>2675</v>
      </c>
      <c r="AB325" s="1374"/>
      <c r="AC325" s="1374"/>
      <c r="AD325" s="1374"/>
      <c r="AE325" s="1374"/>
      <c r="AF325" s="1374"/>
      <c r="AG325" s="1410"/>
      <c r="AH325" s="1410"/>
      <c r="AI325" s="1410"/>
      <c r="AJ325" s="1410"/>
      <c r="AK325" s="1410"/>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367</v>
      </c>
      <c r="C327" s="3"/>
      <c r="D327" s="3"/>
      <c r="E327" s="3"/>
      <c r="F327" s="3"/>
      <c r="H327" s="1410" t="s">
        <v>2670</v>
      </c>
      <c r="I327" s="1410"/>
      <c r="J327" s="1410"/>
      <c r="K327" s="1410"/>
      <c r="L327" s="1410"/>
      <c r="M327" s="1410"/>
      <c r="N327" s="1410"/>
      <c r="O327" s="1410"/>
      <c r="P327" s="1410"/>
      <c r="Q327" s="1410"/>
      <c r="R327" s="1410"/>
      <c r="T327" s="3" t="s">
        <v>368</v>
      </c>
      <c r="V327" s="3"/>
      <c r="W327" s="3"/>
      <c r="X327" s="3"/>
      <c r="Y327" s="3"/>
      <c r="AA327" s="1410"/>
      <c r="AB327" s="1410"/>
      <c r="AC327" s="1410"/>
      <c r="AD327" s="1410"/>
      <c r="AE327" s="1410"/>
      <c r="AF327" s="1410"/>
      <c r="AG327" s="1410"/>
      <c r="AH327" s="1410"/>
      <c r="AI327" s="1410"/>
      <c r="AJ327" s="1410"/>
      <c r="AK327" s="1410"/>
    </row>
    <row r="328" spans="2:37" ht="13" customHeight="1">
      <c r="B328" s="3" t="s">
        <v>472</v>
      </c>
      <c r="C328" s="3"/>
      <c r="D328" s="3"/>
      <c r="E328" s="3"/>
      <c r="F328" s="3"/>
      <c r="H328" s="1374" t="s">
        <v>2671</v>
      </c>
      <c r="I328" s="1374"/>
      <c r="J328" s="1374"/>
      <c r="K328" s="1374"/>
      <c r="L328" s="1374"/>
      <c r="M328" s="1374"/>
      <c r="N328" s="1374"/>
      <c r="O328" s="1374"/>
      <c r="P328" s="1374"/>
      <c r="Q328" s="1374"/>
      <c r="R328" s="1374"/>
      <c r="T328" s="3" t="s">
        <v>472</v>
      </c>
      <c r="V328" s="3"/>
      <c r="W328" s="3"/>
      <c r="X328" s="3"/>
      <c r="Y328" s="3"/>
      <c r="AA328" s="1374"/>
      <c r="AB328" s="1374"/>
      <c r="AC328" s="1374"/>
      <c r="AD328" s="1374"/>
      <c r="AE328" s="1374"/>
      <c r="AF328" s="1374"/>
      <c r="AG328" s="1374"/>
      <c r="AH328" s="1374"/>
      <c r="AI328" s="1374"/>
      <c r="AJ328" s="1374"/>
      <c r="AK328" s="1374"/>
    </row>
    <row r="329" spans="2:37" ht="13" customHeight="1">
      <c r="B329" s="3" t="s">
        <v>473</v>
      </c>
      <c r="C329" s="3"/>
      <c r="D329" s="3"/>
      <c r="E329" s="3"/>
      <c r="F329" s="3"/>
      <c r="H329" s="1374" t="s">
        <v>2672</v>
      </c>
      <c r="I329" s="1374"/>
      <c r="J329" s="1374"/>
      <c r="K329" s="1374"/>
      <c r="L329" s="1374"/>
      <c r="M329" s="1374"/>
      <c r="N329" s="1374"/>
      <c r="O329" s="1374"/>
      <c r="P329" s="1374"/>
      <c r="Q329" s="1374"/>
      <c r="R329" s="1374"/>
      <c r="T329" s="3" t="s">
        <v>75</v>
      </c>
      <c r="V329" s="3"/>
      <c r="W329" s="3"/>
      <c r="X329" s="3"/>
      <c r="Y329" s="3"/>
      <c r="AA329" s="1374"/>
      <c r="AB329" s="1374"/>
      <c r="AC329" s="1374"/>
      <c r="AD329" s="1374"/>
      <c r="AE329" s="1374"/>
      <c r="AF329" s="1374"/>
      <c r="AG329" s="1374"/>
      <c r="AH329" s="1374"/>
      <c r="AI329" s="1374"/>
      <c r="AJ329" s="1374"/>
      <c r="AK329" s="1374"/>
    </row>
    <row r="330" spans="2:37" ht="13" customHeight="1">
      <c r="B330" s="3" t="s">
        <v>87</v>
      </c>
      <c r="C330" s="3"/>
      <c r="D330" s="3"/>
      <c r="E330" s="3"/>
      <c r="F330" s="3"/>
      <c r="H330" s="1374" t="s">
        <v>2673</v>
      </c>
      <c r="I330" s="1374"/>
      <c r="J330" s="1374"/>
      <c r="K330" s="1374"/>
      <c r="L330" s="1374"/>
      <c r="M330" s="1374"/>
      <c r="N330" s="1374"/>
      <c r="O330" s="1374"/>
      <c r="P330" s="1374"/>
      <c r="Q330" s="1374"/>
      <c r="R330" s="1374"/>
      <c r="T330" s="3" t="s">
        <v>87</v>
      </c>
      <c r="V330" s="3"/>
      <c r="W330" s="3"/>
      <c r="X330" s="3"/>
      <c r="Y330" s="3"/>
      <c r="AA330" s="1374"/>
      <c r="AB330" s="1374"/>
      <c r="AC330" s="1374"/>
      <c r="AD330" s="1374"/>
      <c r="AE330" s="1374"/>
      <c r="AF330" s="1374"/>
      <c r="AG330" s="1374"/>
      <c r="AH330" s="1374"/>
      <c r="AI330" s="1374"/>
      <c r="AJ330" s="1374"/>
      <c r="AK330" s="1374"/>
    </row>
    <row r="331" spans="2:37" ht="13" customHeight="1">
      <c r="B331" s="3" t="s">
        <v>88</v>
      </c>
      <c r="C331" s="3"/>
      <c r="D331" s="3"/>
      <c r="E331" s="3"/>
      <c r="F331" s="3"/>
      <c r="G331" s="3"/>
      <c r="H331" s="1569" t="s">
        <v>2674</v>
      </c>
      <c r="I331" s="1569"/>
      <c r="J331" s="1569"/>
      <c r="K331" s="1569"/>
      <c r="L331" s="1569"/>
      <c r="M331" s="1569"/>
      <c r="N331" s="4" t="s">
        <v>206</v>
      </c>
      <c r="O331" s="4"/>
      <c r="P331" s="1525"/>
      <c r="Q331" s="1525"/>
      <c r="R331" s="1525"/>
      <c r="S331" s="3"/>
      <c r="T331" s="3" t="s">
        <v>88</v>
      </c>
      <c r="V331" s="3"/>
      <c r="W331" s="3"/>
      <c r="X331" s="3"/>
      <c r="Y331" s="3"/>
      <c r="AA331" s="1569"/>
      <c r="AB331" s="1569"/>
      <c r="AC331" s="1569"/>
      <c r="AD331" s="1569"/>
      <c r="AE331" s="1569"/>
      <c r="AF331" s="1569"/>
      <c r="AG331" s="4" t="s">
        <v>206</v>
      </c>
      <c r="AH331" s="4"/>
      <c r="AI331" s="1525"/>
      <c r="AJ331" s="1525"/>
      <c r="AK331" s="1525"/>
    </row>
    <row r="332" spans="2:37" ht="13" customHeight="1">
      <c r="B332" s="3" t="s">
        <v>89</v>
      </c>
      <c r="C332" s="3"/>
      <c r="D332" s="3"/>
      <c r="E332" s="3"/>
      <c r="F332" s="3"/>
      <c r="G332" s="3"/>
      <c r="H332" s="1490" t="s">
        <v>592</v>
      </c>
      <c r="I332" s="1490"/>
      <c r="J332" s="1490"/>
      <c r="K332" s="1490"/>
      <c r="L332" s="1490"/>
      <c r="M332" s="1490"/>
      <c r="N332" s="4"/>
      <c r="O332" s="4"/>
      <c r="P332" s="35"/>
      <c r="Q332" s="35"/>
      <c r="R332" s="35"/>
      <c r="S332" s="3"/>
      <c r="T332" s="3" t="s">
        <v>89</v>
      </c>
      <c r="V332" s="3"/>
      <c r="W332" s="3"/>
      <c r="X332" s="3"/>
      <c r="Y332" s="3"/>
      <c r="AA332" s="1490"/>
      <c r="AB332" s="1490"/>
      <c r="AC332" s="1490"/>
      <c r="AD332" s="1490"/>
      <c r="AE332" s="1490"/>
      <c r="AF332" s="1490"/>
      <c r="AG332" s="4"/>
      <c r="AH332" s="4"/>
      <c r="AI332" s="35"/>
      <c r="AJ332" s="35"/>
      <c r="AK332" s="35"/>
    </row>
    <row r="333" spans="2:37" ht="13" customHeight="1">
      <c r="B333" s="3" t="s">
        <v>76</v>
      </c>
      <c r="C333" s="3"/>
      <c r="D333" s="3"/>
      <c r="E333" s="3"/>
      <c r="F333" s="3"/>
      <c r="G333" s="3"/>
      <c r="H333" s="1374" t="s">
        <v>2675</v>
      </c>
      <c r="I333" s="1374"/>
      <c r="J333" s="1374"/>
      <c r="K333" s="1374"/>
      <c r="L333" s="1374"/>
      <c r="M333" s="1374"/>
      <c r="N333" s="1410"/>
      <c r="O333" s="1410"/>
      <c r="P333" s="1410"/>
      <c r="Q333" s="1410"/>
      <c r="R333" s="1410"/>
      <c r="S333" s="3"/>
      <c r="T333" s="3" t="s">
        <v>76</v>
      </c>
      <c r="V333" s="3"/>
      <c r="W333" s="3"/>
      <c r="X333" s="3"/>
      <c r="Y333" s="3"/>
      <c r="AA333" s="1374"/>
      <c r="AB333" s="1374"/>
      <c r="AC333" s="1374"/>
      <c r="AD333" s="1374"/>
      <c r="AE333" s="1374"/>
      <c r="AF333" s="1374"/>
      <c r="AG333" s="1410"/>
      <c r="AH333" s="1410"/>
      <c r="AI333" s="1410"/>
      <c r="AJ333" s="1410"/>
      <c r="AK333" s="1410"/>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329</v>
      </c>
      <c r="C335" s="3"/>
      <c r="D335" s="3"/>
      <c r="E335" s="3"/>
      <c r="F335" s="3"/>
      <c r="H335" s="1410" t="s">
        <v>2676</v>
      </c>
      <c r="I335" s="1410"/>
      <c r="J335" s="1410"/>
      <c r="K335" s="1410"/>
      <c r="L335" s="1410"/>
      <c r="M335" s="1410"/>
      <c r="N335" s="1410"/>
      <c r="O335" s="1410"/>
      <c r="P335" s="1410"/>
      <c r="Q335" s="1410"/>
      <c r="R335" s="1410"/>
      <c r="T335" s="204" t="s">
        <v>887</v>
      </c>
      <c r="V335" s="3"/>
      <c r="W335" s="3"/>
      <c r="X335" s="3"/>
      <c r="Y335" s="3"/>
      <c r="AA335" s="1410" t="s">
        <v>2682</v>
      </c>
      <c r="AB335" s="1410"/>
      <c r="AC335" s="1410"/>
      <c r="AD335" s="1410"/>
      <c r="AE335" s="1410"/>
      <c r="AF335" s="1410"/>
      <c r="AG335" s="1410"/>
      <c r="AH335" s="1410"/>
      <c r="AI335" s="1410"/>
      <c r="AJ335" s="1410"/>
      <c r="AK335" s="1410"/>
    </row>
    <row r="336" spans="2:37" ht="13" customHeight="1">
      <c r="B336" s="3" t="s">
        <v>472</v>
      </c>
      <c r="C336" s="3"/>
      <c r="D336" s="3"/>
      <c r="E336" s="3"/>
      <c r="F336" s="3"/>
      <c r="H336" s="1374" t="s">
        <v>2677</v>
      </c>
      <c r="I336" s="1374"/>
      <c r="J336" s="1374"/>
      <c r="K336" s="1374"/>
      <c r="L336" s="1374"/>
      <c r="M336" s="1374"/>
      <c r="N336" s="1374"/>
      <c r="O336" s="1374"/>
      <c r="P336" s="1374"/>
      <c r="Q336" s="1374"/>
      <c r="R336" s="1374"/>
      <c r="T336" s="3" t="s">
        <v>472</v>
      </c>
      <c r="V336" s="3"/>
      <c r="W336" s="3"/>
      <c r="X336" s="3"/>
      <c r="Y336" s="3"/>
      <c r="AA336" s="1374" t="s">
        <v>2683</v>
      </c>
      <c r="AB336" s="1374"/>
      <c r="AC336" s="1374"/>
      <c r="AD336" s="1374"/>
      <c r="AE336" s="1374"/>
      <c r="AF336" s="1374"/>
      <c r="AG336" s="1374"/>
      <c r="AH336" s="1374"/>
      <c r="AI336" s="1374"/>
      <c r="AJ336" s="1374"/>
      <c r="AK336" s="1374"/>
    </row>
    <row r="337" spans="1:66" ht="13" customHeight="1">
      <c r="B337" s="3" t="s">
        <v>75</v>
      </c>
      <c r="C337" s="3"/>
      <c r="D337" s="3"/>
      <c r="E337" s="3"/>
      <c r="F337" s="3"/>
      <c r="H337" s="1374" t="s">
        <v>2678</v>
      </c>
      <c r="I337" s="1374"/>
      <c r="J337" s="1374"/>
      <c r="K337" s="1374"/>
      <c r="L337" s="1374"/>
      <c r="M337" s="1374"/>
      <c r="N337" s="1374"/>
      <c r="O337" s="1374"/>
      <c r="P337" s="1374"/>
      <c r="Q337" s="1374"/>
      <c r="R337" s="1374"/>
      <c r="T337" s="3" t="s">
        <v>75</v>
      </c>
      <c r="V337" s="3"/>
      <c r="W337" s="3"/>
      <c r="X337" s="3"/>
      <c r="Y337" s="3"/>
      <c r="AA337" s="1374" t="s">
        <v>2684</v>
      </c>
      <c r="AB337" s="1374"/>
      <c r="AC337" s="1374"/>
      <c r="AD337" s="1374"/>
      <c r="AE337" s="1374"/>
      <c r="AF337" s="1374"/>
      <c r="AG337" s="1374"/>
      <c r="AH337" s="1374"/>
      <c r="AI337" s="1374"/>
      <c r="AJ337" s="1374"/>
      <c r="AK337" s="1374"/>
    </row>
    <row r="338" spans="1:66" ht="13" customHeight="1">
      <c r="B338" s="3" t="s">
        <v>87</v>
      </c>
      <c r="C338" s="3"/>
      <c r="D338" s="3"/>
      <c r="E338" s="3"/>
      <c r="F338" s="3"/>
      <c r="G338" s="3"/>
      <c r="H338" s="1374" t="s">
        <v>2679</v>
      </c>
      <c r="I338" s="1374"/>
      <c r="J338" s="1374"/>
      <c r="K338" s="1374"/>
      <c r="L338" s="1374"/>
      <c r="M338" s="1374"/>
      <c r="N338" s="1374"/>
      <c r="O338" s="1374"/>
      <c r="P338" s="1374"/>
      <c r="Q338" s="1374"/>
      <c r="R338" s="1374"/>
      <c r="T338" s="3" t="s">
        <v>87</v>
      </c>
      <c r="V338" s="3"/>
      <c r="W338" s="3"/>
      <c r="X338" s="3"/>
      <c r="Y338" s="3"/>
      <c r="AA338" s="1374" t="s">
        <v>2685</v>
      </c>
      <c r="AB338" s="1374"/>
      <c r="AC338" s="1374"/>
      <c r="AD338" s="1374"/>
      <c r="AE338" s="1374"/>
      <c r="AF338" s="1374"/>
      <c r="AG338" s="1374"/>
      <c r="AH338" s="1374"/>
      <c r="AI338" s="1374"/>
      <c r="AJ338" s="1374"/>
      <c r="AK338" s="1374"/>
    </row>
    <row r="339" spans="1:66" ht="13" customHeight="1">
      <c r="B339" s="3" t="s">
        <v>88</v>
      </c>
      <c r="C339" s="3"/>
      <c r="D339" s="3"/>
      <c r="E339" s="3"/>
      <c r="F339" s="3"/>
      <c r="G339" s="3"/>
      <c r="H339" s="1541" t="s">
        <v>2680</v>
      </c>
      <c r="I339" s="1569"/>
      <c r="J339" s="1569"/>
      <c r="K339" s="1569"/>
      <c r="L339" s="1569"/>
      <c r="M339" s="1569"/>
      <c r="N339" s="4" t="s">
        <v>206</v>
      </c>
      <c r="O339" s="4"/>
      <c r="P339" s="1525"/>
      <c r="Q339" s="1525"/>
      <c r="R339" s="1525"/>
      <c r="S339" s="3"/>
      <c r="T339" s="3" t="s">
        <v>88</v>
      </c>
      <c r="V339" s="3"/>
      <c r="W339" s="3"/>
      <c r="X339" s="3"/>
      <c r="Y339" s="3"/>
      <c r="AA339" s="1541" t="s">
        <v>2686</v>
      </c>
      <c r="AB339" s="1569"/>
      <c r="AC339" s="1569"/>
      <c r="AD339" s="1569"/>
      <c r="AE339" s="1569"/>
      <c r="AF339" s="1569"/>
      <c r="AG339" s="4" t="s">
        <v>206</v>
      </c>
      <c r="AH339" s="4"/>
      <c r="AI339" s="1525"/>
      <c r="AJ339" s="1525"/>
      <c r="AK339" s="1525"/>
    </row>
    <row r="340" spans="1:66" ht="13" customHeight="1">
      <c r="B340" s="3" t="s">
        <v>89</v>
      </c>
      <c r="C340" s="3"/>
      <c r="D340" s="3"/>
      <c r="E340" s="3"/>
      <c r="F340" s="3"/>
      <c r="G340" s="3"/>
      <c r="H340" s="1520" t="s">
        <v>592</v>
      </c>
      <c r="I340" s="1490"/>
      <c r="J340" s="1490"/>
      <c r="K340" s="1490"/>
      <c r="L340" s="1490"/>
      <c r="M340" s="1490"/>
      <c r="N340" s="4"/>
      <c r="O340" s="4"/>
      <c r="P340" s="35"/>
      <c r="Q340" s="35"/>
      <c r="R340" s="35"/>
      <c r="S340" s="3"/>
      <c r="T340" s="3" t="s">
        <v>89</v>
      </c>
      <c r="V340" s="3"/>
      <c r="W340" s="3"/>
      <c r="X340" s="3"/>
      <c r="Y340" s="3"/>
      <c r="AA340" s="1520" t="s">
        <v>592</v>
      </c>
      <c r="AB340" s="1490"/>
      <c r="AC340" s="1490"/>
      <c r="AD340" s="1490"/>
      <c r="AE340" s="1490"/>
      <c r="AF340" s="1490"/>
      <c r="AG340" s="4"/>
      <c r="AH340" s="4"/>
      <c r="AI340" s="35"/>
      <c r="AJ340" s="35"/>
      <c r="AK340" s="35"/>
    </row>
    <row r="341" spans="1:66" ht="13" customHeight="1">
      <c r="B341" s="3" t="s">
        <v>76</v>
      </c>
      <c r="C341" s="3"/>
      <c r="D341" s="3"/>
      <c r="E341" s="3"/>
      <c r="F341" s="3"/>
      <c r="G341" s="3"/>
      <c r="H341" s="1374" t="s">
        <v>2681</v>
      </c>
      <c r="I341" s="1374"/>
      <c r="J341" s="1374"/>
      <c r="K341" s="1374"/>
      <c r="L341" s="1374"/>
      <c r="M341" s="1374"/>
      <c r="N341" s="1410"/>
      <c r="O341" s="1410"/>
      <c r="P341" s="1410"/>
      <c r="Q341" s="1410"/>
      <c r="R341" s="1410"/>
      <c r="S341" s="3"/>
      <c r="T341" s="3" t="s">
        <v>76</v>
      </c>
      <c r="V341" s="3"/>
      <c r="W341" s="3"/>
      <c r="X341" s="3"/>
      <c r="Y341" s="3"/>
      <c r="AA341" s="1374" t="s">
        <v>2687</v>
      </c>
      <c r="AB341" s="1374"/>
      <c r="AC341" s="1374"/>
      <c r="AD341" s="1374"/>
      <c r="AE341" s="1374"/>
      <c r="AF341" s="1374"/>
      <c r="AG341" s="1410"/>
      <c r="AH341" s="1410"/>
      <c r="AI341" s="1410"/>
      <c r="AJ341" s="1410"/>
      <c r="AK341" s="1410"/>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3" customHeight="1">
      <c r="B343" s="3"/>
      <c r="C343" s="4"/>
      <c r="D343" s="4"/>
      <c r="E343" s="4"/>
      <c r="F343" s="4"/>
      <c r="I343" s="204" t="s">
        <v>888</v>
      </c>
      <c r="P343" s="1410"/>
      <c r="Q343" s="1410"/>
      <c r="R343" s="1410"/>
      <c r="S343" s="1410"/>
      <c r="T343" s="1410"/>
      <c r="U343" s="1410"/>
      <c r="V343" s="1410"/>
      <c r="W343" s="1410"/>
      <c r="X343" s="1410"/>
      <c r="Y343" s="1410"/>
      <c r="Z343" s="1410"/>
      <c r="AA343" s="1410"/>
      <c r="AB343" s="1410"/>
      <c r="AC343" s="1410"/>
      <c r="AD343" s="1410"/>
      <c r="AE343" s="1410"/>
      <c r="BN343" t="s">
        <v>670</v>
      </c>
    </row>
    <row r="344" spans="1:66" ht="13" customHeight="1">
      <c r="B344" s="4"/>
      <c r="C344" s="4"/>
      <c r="D344" s="4"/>
      <c r="E344" s="4"/>
      <c r="F344" s="4"/>
      <c r="I344" s="4" t="s">
        <v>472</v>
      </c>
      <c r="P344" s="1374"/>
      <c r="Q344" s="1374"/>
      <c r="R344" s="1374"/>
      <c r="S344" s="1374"/>
      <c r="T344" s="1374"/>
      <c r="U344" s="1374"/>
      <c r="V344" s="1374"/>
      <c r="W344" s="1374"/>
      <c r="X344" s="1374"/>
      <c r="Y344" s="1374"/>
      <c r="Z344" s="1374"/>
      <c r="AA344" s="1374"/>
      <c r="AB344" s="1374"/>
      <c r="AC344" s="1374"/>
      <c r="AD344" s="1374"/>
      <c r="AE344" s="1374"/>
      <c r="BN344" t="s">
        <v>546</v>
      </c>
    </row>
    <row r="345" spans="1:66" ht="13" customHeight="1">
      <c r="B345" s="4"/>
      <c r="C345" s="4"/>
      <c r="D345" s="4"/>
      <c r="E345" s="4"/>
      <c r="F345" s="4"/>
      <c r="I345" s="4" t="s">
        <v>75</v>
      </c>
      <c r="P345" s="1374"/>
      <c r="Q345" s="1374"/>
      <c r="R345" s="1374"/>
      <c r="S345" s="1374"/>
      <c r="T345" s="1374"/>
      <c r="U345" s="1374"/>
      <c r="V345" s="1374"/>
      <c r="W345" s="1374"/>
      <c r="X345" s="1374"/>
      <c r="Y345" s="1374"/>
      <c r="Z345" s="1374"/>
      <c r="AA345" s="1374"/>
      <c r="AB345" s="1374"/>
      <c r="AC345" s="1374"/>
      <c r="AD345" s="1374"/>
      <c r="AE345" s="1374"/>
    </row>
    <row r="346" spans="1:66" ht="13" customHeight="1">
      <c r="B346" s="4"/>
      <c r="C346" s="4"/>
      <c r="D346" s="4"/>
      <c r="E346" s="4"/>
      <c r="F346" s="4"/>
      <c r="G346" s="4"/>
      <c r="I346" s="4" t="s">
        <v>87</v>
      </c>
      <c r="P346" s="1374"/>
      <c r="Q346" s="1374"/>
      <c r="R346" s="1374"/>
      <c r="S346" s="1374"/>
      <c r="T346" s="1374"/>
      <c r="U346" s="1374"/>
      <c r="V346" s="1374"/>
      <c r="W346" s="1374"/>
      <c r="X346" s="1374"/>
      <c r="Y346" s="1374"/>
      <c r="Z346" s="1374"/>
      <c r="AA346" s="1374"/>
      <c r="AB346" s="1374"/>
      <c r="AC346" s="1374"/>
      <c r="AD346" s="1374"/>
      <c r="AE346" s="1374"/>
    </row>
    <row r="347" spans="1:66" ht="13" customHeight="1">
      <c r="B347" s="4"/>
      <c r="C347" s="4"/>
      <c r="D347" s="4"/>
      <c r="E347" s="4"/>
      <c r="F347" s="4"/>
      <c r="G347" s="4"/>
      <c r="H347" s="302"/>
      <c r="I347" s="4" t="s">
        <v>88</v>
      </c>
      <c r="P347" s="1490"/>
      <c r="Q347" s="1490"/>
      <c r="R347" s="1490"/>
      <c r="S347" s="1490"/>
      <c r="T347" s="1490"/>
      <c r="U347" s="1490"/>
      <c r="V347" s="1490"/>
      <c r="W347" s="1490"/>
      <c r="X347" s="1490"/>
      <c r="Y347" s="1490"/>
      <c r="Z347" s="1490"/>
      <c r="AA347" s="4" t="s">
        <v>206</v>
      </c>
      <c r="AB347" s="4"/>
      <c r="AC347" s="1474"/>
      <c r="AD347" s="1474"/>
      <c r="AE347" s="1474"/>
      <c r="AF347" s="302"/>
      <c r="AG347" s="4"/>
      <c r="AH347" s="4"/>
      <c r="AI347" s="4"/>
      <c r="AJ347" s="4"/>
      <c r="AK347" s="4"/>
    </row>
    <row r="348" spans="1:66" ht="13" customHeight="1">
      <c r="B348" s="4"/>
      <c r="C348" s="4"/>
      <c r="D348" s="4"/>
      <c r="E348" s="4"/>
      <c r="F348" s="4"/>
      <c r="G348" s="4"/>
      <c r="H348" s="302"/>
      <c r="I348" s="4" t="s">
        <v>89</v>
      </c>
      <c r="P348" s="1490"/>
      <c r="Q348" s="1490"/>
      <c r="R348" s="1490"/>
      <c r="S348" s="1490"/>
      <c r="T348" s="1490"/>
      <c r="U348" s="1490"/>
      <c r="V348" s="1490"/>
      <c r="W348" s="1490"/>
      <c r="X348" s="1490"/>
      <c r="Y348" s="1490"/>
      <c r="Z348" s="1490"/>
      <c r="AF348" s="302"/>
      <c r="AG348" s="4"/>
      <c r="AH348" s="4"/>
      <c r="AI348" s="35"/>
      <c r="AJ348" s="35"/>
      <c r="AK348" s="35"/>
    </row>
    <row r="349" spans="1:66" ht="13" customHeight="1">
      <c r="B349" s="4"/>
      <c r="C349" s="4"/>
      <c r="D349" s="4"/>
      <c r="E349" s="4"/>
      <c r="F349" s="4"/>
      <c r="G349" s="4"/>
      <c r="I349" s="4" t="s">
        <v>76</v>
      </c>
      <c r="P349" s="1410"/>
      <c r="Q349" s="1410"/>
      <c r="R349" s="1410"/>
      <c r="S349" s="1410"/>
      <c r="T349" s="1410"/>
      <c r="U349" s="1410"/>
      <c r="V349" s="1410"/>
      <c r="W349" s="1410"/>
      <c r="X349" s="1410"/>
      <c r="Y349" s="1410"/>
      <c r="Z349" s="1410"/>
      <c r="AA349" s="1410"/>
      <c r="AB349" s="1410"/>
      <c r="AC349" s="1410"/>
      <c r="AD349" s="1410"/>
      <c r="AE349" s="1410"/>
    </row>
    <row r="350" spans="1:66" ht="13" customHeight="1">
      <c r="T350" s="8"/>
      <c r="U350" s="8"/>
      <c r="V350" s="8"/>
      <c r="W350" s="8"/>
      <c r="X350" s="8"/>
      <c r="Y350" s="8"/>
      <c r="Z350" s="8"/>
      <c r="AU350" s="95"/>
      <c r="AV350" s="95"/>
      <c r="AW350" s="95"/>
      <c r="AX350" s="95"/>
      <c r="AY350" s="95"/>
    </row>
    <row r="351" spans="1:66" ht="13" customHeight="1">
      <c r="A351" s="1535" t="s">
        <v>543</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3"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783</v>
      </c>
    </row>
    <row r="355" spans="1:46" ht="13" customHeight="1">
      <c r="D355" s="3" t="s">
        <v>2100</v>
      </c>
      <c r="M355" s="1418" t="s">
        <v>546</v>
      </c>
      <c r="N355" s="1418"/>
      <c r="P355" t="s">
        <v>1651</v>
      </c>
      <c r="AJ355" s="1418" t="s">
        <v>546</v>
      </c>
      <c r="AK355" s="1418"/>
    </row>
    <row r="356" spans="1:46" ht="13" customHeight="1">
      <c r="D356" s="3" t="s">
        <v>1640</v>
      </c>
      <c r="M356" s="1418" t="s">
        <v>592</v>
      </c>
      <c r="N356" s="1418"/>
      <c r="P356" s="3" t="s">
        <v>1720</v>
      </c>
      <c r="AJ356" s="1385">
        <v>0</v>
      </c>
      <c r="AK356" s="1385"/>
    </row>
    <row r="357" spans="1:46" ht="13" customHeight="1">
      <c r="D357" s="3" t="s">
        <v>705</v>
      </c>
      <c r="M357" s="1418" t="s">
        <v>592</v>
      </c>
      <c r="N357" s="1418"/>
      <c r="P357" t="s">
        <v>1650</v>
      </c>
      <c r="AJ357" s="1418" t="s">
        <v>670</v>
      </c>
      <c r="AK357" s="1418"/>
    </row>
    <row r="358" spans="1:46" ht="13" customHeight="1">
      <c r="D358" s="3" t="s">
        <v>706</v>
      </c>
      <c r="M358" s="1418" t="s">
        <v>592</v>
      </c>
      <c r="N358" s="1418"/>
      <c r="Q358" s="4"/>
    </row>
    <row r="359" spans="1:46" ht="13" customHeight="1">
      <c r="Q359" s="4"/>
    </row>
    <row r="360" spans="1:46" ht="13" customHeight="1">
      <c r="Q360" s="4"/>
    </row>
    <row r="361" spans="1:46" ht="13" customHeight="1">
      <c r="A361" s="2" t="s">
        <v>577</v>
      </c>
      <c r="B361" s="2"/>
      <c r="C361" s="2" t="s">
        <v>553</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8" t="s">
        <v>592</v>
      </c>
      <c r="O363" s="1418"/>
      <c r="P363" s="40"/>
      <c r="Q363" s="40"/>
      <c r="R363" s="40"/>
      <c r="S363" s="40"/>
      <c r="T363" s="40"/>
      <c r="U363" s="40"/>
      <c r="V363" s="40"/>
      <c r="W363" s="40"/>
      <c r="X363" s="40"/>
      <c r="Y363" s="40"/>
      <c r="Z363" s="40"/>
      <c r="AC363" s="40"/>
      <c r="AD363" s="40"/>
      <c r="AE363" s="40"/>
    </row>
    <row r="364" spans="1:46" ht="13" customHeight="1">
      <c r="E364" t="s">
        <v>370</v>
      </c>
      <c r="Y364" s="1418" t="s">
        <v>592</v>
      </c>
      <c r="Z364" s="1418"/>
    </row>
    <row r="365" spans="1:46" ht="13" customHeight="1">
      <c r="D365" s="4" t="s">
        <v>979</v>
      </c>
      <c r="Q365" s="1410" t="s">
        <v>592</v>
      </c>
      <c r="R365" s="1410"/>
      <c r="S365" s="1410"/>
      <c r="T365" s="1410"/>
      <c r="U365" s="1410"/>
      <c r="V365" s="1410"/>
      <c r="W365" s="1410"/>
      <c r="X365" s="1410"/>
      <c r="Y365" s="1410"/>
      <c r="Z365" s="1410"/>
      <c r="AA365" s="1410"/>
      <c r="AB365" s="1410"/>
      <c r="AC365" s="1410"/>
      <c r="AD365" s="1410"/>
      <c r="AE365" s="1410"/>
      <c r="AF365" s="1410"/>
      <c r="AG365" s="1410"/>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18" t="s">
        <v>592</v>
      </c>
      <c r="K367" s="1418"/>
      <c r="L367" s="40"/>
      <c r="M367" s="40"/>
      <c r="N367" s="40"/>
      <c r="O367" s="40"/>
      <c r="P367" s="40"/>
      <c r="Q367" s="40"/>
      <c r="R367" s="40"/>
      <c r="S367" s="40"/>
      <c r="T367" s="40"/>
      <c r="U367" s="40"/>
      <c r="V367" s="40"/>
      <c r="W367" s="40"/>
      <c r="X367" s="40"/>
      <c r="Y367" s="40"/>
      <c r="Z367" s="40"/>
      <c r="AC367" s="40"/>
      <c r="AD367" s="40"/>
      <c r="AE367" s="40"/>
    </row>
    <row r="368" spans="1:46" ht="13" customHeight="1">
      <c r="E368" s="1549" t="s">
        <v>707</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3"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3" customHeight="1">
      <c r="E370" s="4" t="s">
        <v>449</v>
      </c>
      <c r="F370" s="4"/>
      <c r="G370" s="4"/>
      <c r="H370" s="4"/>
      <c r="I370" s="4"/>
      <c r="J370" s="4"/>
      <c r="K370" s="4"/>
      <c r="L370" s="4"/>
      <c r="N370" s="1393" t="s">
        <v>592</v>
      </c>
      <c r="O370" s="1393"/>
      <c r="P370" s="1393"/>
      <c r="Q370" s="1393"/>
      <c r="R370" s="4"/>
      <c r="U370" s="4" t="s">
        <v>450</v>
      </c>
      <c r="V370" s="4"/>
      <c r="W370" s="4"/>
      <c r="X370" s="4"/>
      <c r="Y370" s="4"/>
      <c r="Z370" s="4"/>
      <c r="AA370" s="4"/>
      <c r="AB370" s="4"/>
      <c r="AC370" s="1393" t="s">
        <v>592</v>
      </c>
      <c r="AD370" s="1393"/>
      <c r="AE370" s="1393"/>
      <c r="AF370" s="1393"/>
    </row>
    <row r="371" spans="1:34" ht="13" customHeight="1">
      <c r="E371" s="4" t="s">
        <v>451</v>
      </c>
      <c r="F371" s="4"/>
      <c r="G371" s="4"/>
      <c r="H371" s="4"/>
      <c r="I371" s="4"/>
      <c r="J371" s="4"/>
      <c r="K371" s="4"/>
      <c r="L371" s="4"/>
      <c r="N371" s="1393" t="s">
        <v>592</v>
      </c>
      <c r="O371" s="1393"/>
      <c r="P371" s="1393"/>
      <c r="Q371" s="1393"/>
      <c r="R371" s="4"/>
      <c r="U371" s="4" t="s">
        <v>0</v>
      </c>
      <c r="V371" s="4"/>
      <c r="W371" s="4"/>
      <c r="X371" s="4"/>
      <c r="Y371" s="4"/>
      <c r="Z371" s="4"/>
      <c r="AA371" s="4"/>
      <c r="AB371" s="4"/>
      <c r="AC371" s="1393" t="s">
        <v>592</v>
      </c>
      <c r="AD371" s="1393"/>
      <c r="AE371" s="1393"/>
      <c r="AF371" s="1393"/>
    </row>
    <row r="372" spans="1:34" ht="13" customHeight="1">
      <c r="E372" s="4" t="s">
        <v>1</v>
      </c>
      <c r="F372" s="4"/>
      <c r="G372" s="4"/>
      <c r="H372" s="4"/>
      <c r="I372" s="4"/>
      <c r="J372" s="4"/>
      <c r="K372" s="4"/>
      <c r="L372" s="4"/>
      <c r="N372" s="1393" t="s">
        <v>592</v>
      </c>
      <c r="O372" s="1393"/>
      <c r="P372" s="1393"/>
      <c r="Q372" s="1393"/>
      <c r="R372" s="4"/>
      <c r="V372" s="4"/>
      <c r="W372" s="4"/>
      <c r="X372" s="4"/>
      <c r="Y372" s="4"/>
      <c r="Z372" s="4"/>
      <c r="AA372" s="4"/>
      <c r="AB372" s="4"/>
    </row>
    <row r="373" spans="1:34" ht="13" customHeight="1">
      <c r="E373" s="4" t="s">
        <v>2</v>
      </c>
      <c r="F373" s="4"/>
      <c r="G373" s="4"/>
      <c r="H373" s="4"/>
      <c r="I373" s="4"/>
      <c r="J373" s="4"/>
      <c r="K373" s="4"/>
      <c r="L373" s="4"/>
      <c r="N373" s="1526" t="s">
        <v>592</v>
      </c>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3"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3" customHeight="1">
      <c r="C375" s="512"/>
      <c r="E375" s="4"/>
      <c r="F375" s="4"/>
      <c r="G375" s="4"/>
      <c r="H375" s="4"/>
      <c r="I375" s="4"/>
      <c r="J375" s="4"/>
      <c r="K375" s="4"/>
      <c r="L375" s="4"/>
    </row>
    <row r="376" spans="1:34" ht="13" customHeight="1">
      <c r="D376" s="2" t="s">
        <v>976</v>
      </c>
      <c r="E376" s="2"/>
      <c r="F376" s="4"/>
      <c r="G376" s="4"/>
      <c r="H376" s="4"/>
      <c r="I376" s="4"/>
      <c r="J376" s="4"/>
      <c r="K376" s="4"/>
      <c r="L376" s="4"/>
    </row>
    <row r="377" spans="1:34" ht="13" customHeight="1">
      <c r="E377" s="4" t="s">
        <v>2086</v>
      </c>
      <c r="F377" s="4"/>
      <c r="G377" s="4"/>
      <c r="H377" s="4"/>
      <c r="I377" s="4"/>
      <c r="J377" s="4"/>
      <c r="K377" s="4"/>
      <c r="L377" s="4"/>
      <c r="N377" t="s">
        <v>2081</v>
      </c>
      <c r="R377" s="27" t="s">
        <v>305</v>
      </c>
      <c r="S377" s="1446" t="s">
        <v>592</v>
      </c>
      <c r="T377" s="1446"/>
      <c r="U377" s="1" t="s">
        <v>306</v>
      </c>
      <c r="V377" s="1446" t="s">
        <v>592</v>
      </c>
      <c r="W377" s="1446"/>
      <c r="Y377" t="s">
        <v>2081</v>
      </c>
      <c r="AC377" s="27" t="s">
        <v>305</v>
      </c>
      <c r="AD377" s="1446" t="s">
        <v>592</v>
      </c>
      <c r="AE377" s="1446"/>
      <c r="AF377" s="1" t="s">
        <v>306</v>
      </c>
      <c r="AG377" s="1446" t="s">
        <v>592</v>
      </c>
      <c r="AH377" s="1446"/>
    </row>
    <row r="378" spans="1:34" ht="13" customHeight="1">
      <c r="E378" s="4" t="s">
        <v>988</v>
      </c>
      <c r="F378" s="4"/>
      <c r="G378" s="4"/>
      <c r="H378" s="4"/>
      <c r="I378" s="4"/>
      <c r="J378" s="4"/>
      <c r="K378" s="4"/>
      <c r="L378" s="4"/>
      <c r="N378" s="1446" t="s">
        <v>592</v>
      </c>
      <c r="O378" s="1446"/>
      <c r="P378" s="1446"/>
    </row>
    <row r="379" spans="1:34" ht="13" customHeight="1">
      <c r="E379" s="204" t="s">
        <v>2087</v>
      </c>
      <c r="F379" s="4"/>
      <c r="G379" s="4"/>
      <c r="H379" s="4"/>
      <c r="I379" s="4"/>
      <c r="J379" s="4"/>
      <c r="K379" s="4"/>
      <c r="L379" s="4"/>
      <c r="AG379" s="1449" t="s">
        <v>592</v>
      </c>
      <c r="AH379" s="1449"/>
    </row>
    <row r="380" spans="1:34" ht="13" customHeight="1">
      <c r="E380" s="4"/>
      <c r="F380" s="4"/>
      <c r="G380" s="4" t="s">
        <v>2088</v>
      </c>
      <c r="H380" s="4"/>
      <c r="I380" s="4"/>
      <c r="J380" s="4"/>
      <c r="K380" s="4"/>
      <c r="L380" s="4"/>
      <c r="AG380" s="1449" t="s">
        <v>592</v>
      </c>
      <c r="AH380" s="1449"/>
    </row>
    <row r="381" spans="1:34" ht="13" customHeight="1">
      <c r="E381" s="4"/>
      <c r="F381" s="4"/>
      <c r="G381" s="320" t="s">
        <v>989</v>
      </c>
      <c r="H381" s="4"/>
      <c r="I381" s="4"/>
      <c r="J381" s="4"/>
      <c r="K381" s="4"/>
      <c r="L381" s="4"/>
      <c r="V381" s="1418" t="s">
        <v>592</v>
      </c>
      <c r="W381" s="1418"/>
      <c r="Y381" s="22" t="s">
        <v>981</v>
      </c>
    </row>
    <row r="382" spans="1:34" ht="13" customHeight="1">
      <c r="E382" s="4" t="s">
        <v>982</v>
      </c>
      <c r="F382" s="4"/>
      <c r="G382" s="4"/>
      <c r="H382" s="4"/>
      <c r="I382" s="4"/>
      <c r="J382" s="4"/>
      <c r="K382" s="4"/>
      <c r="L382" s="4"/>
      <c r="V382" s="1418" t="s">
        <v>592</v>
      </c>
      <c r="W382" s="1418"/>
      <c r="Y382" s="4" t="s">
        <v>983</v>
      </c>
    </row>
    <row r="383" spans="1:34" ht="13" customHeight="1"/>
    <row r="384" spans="1:34" ht="13" customHeight="1">
      <c r="A384" s="2" t="s">
        <v>78</v>
      </c>
      <c r="B384" s="2"/>
    </row>
    <row r="385" spans="4:36" ht="13" customHeight="1">
      <c r="D385" t="s">
        <v>428</v>
      </c>
      <c r="J385" s="1410" t="s">
        <v>2629</v>
      </c>
      <c r="K385" s="1410"/>
      <c r="L385" s="1410"/>
      <c r="M385" s="1410"/>
      <c r="N385" s="1410"/>
      <c r="O385" s="1410"/>
      <c r="P385" s="1410"/>
      <c r="Q385" s="1410"/>
      <c r="R385" s="1410"/>
      <c r="S385" s="1410"/>
      <c r="T385" s="1410"/>
      <c r="U385" s="1410"/>
      <c r="V385" s="8" t="s">
        <v>83</v>
      </c>
      <c r="W385" s="8"/>
      <c r="X385" s="8"/>
      <c r="Y385" s="8"/>
      <c r="Z385" s="8"/>
      <c r="AA385" s="8"/>
      <c r="AB385" s="8"/>
      <c r="AC385" s="1410" t="s">
        <v>2633</v>
      </c>
      <c r="AD385" s="1410"/>
      <c r="AE385" s="1410"/>
      <c r="AF385" s="1410"/>
      <c r="AG385" s="1410"/>
      <c r="AH385" s="1410"/>
      <c r="AI385" s="1410"/>
      <c r="AJ385" s="1410"/>
    </row>
    <row r="386" spans="4:36" ht="13" customHeight="1">
      <c r="D386" s="3" t="s">
        <v>1183</v>
      </c>
      <c r="J386" s="1374" t="s">
        <v>2633</v>
      </c>
      <c r="K386" s="1374"/>
      <c r="L386" s="1374"/>
      <c r="M386" s="1374"/>
      <c r="N386" s="1374"/>
      <c r="O386" s="1374"/>
      <c r="P386" s="1374"/>
      <c r="Q386" s="1374"/>
      <c r="R386" s="1374"/>
      <c r="S386" s="1374"/>
      <c r="T386" s="1374"/>
      <c r="U386" s="1374"/>
      <c r="V386" s="3" t="s">
        <v>1183</v>
      </c>
      <c r="W386" s="8"/>
      <c r="X386" s="8"/>
      <c r="Y386" s="8"/>
      <c r="Z386" s="8"/>
      <c r="AA386" s="8"/>
      <c r="AB386" s="8"/>
      <c r="AC386" s="1410"/>
      <c r="AD386" s="1410"/>
      <c r="AE386" s="1410"/>
      <c r="AF386" s="1410"/>
      <c r="AG386" s="1410"/>
      <c r="AH386" s="1410"/>
      <c r="AI386" s="1410"/>
      <c r="AJ386" s="1410"/>
    </row>
    <row r="387" spans="4:36" ht="13" customHeight="1">
      <c r="D387" s="3" t="s">
        <v>442</v>
      </c>
      <c r="J387" s="1374" t="s">
        <v>2701</v>
      </c>
      <c r="K387" s="1374"/>
      <c r="L387" s="1374"/>
      <c r="M387" s="1374"/>
      <c r="N387" s="1374"/>
      <c r="O387" s="1374"/>
      <c r="P387" s="1374"/>
      <c r="Q387" s="1374"/>
      <c r="R387" s="1374"/>
      <c r="S387" s="1374"/>
      <c r="T387" s="1374"/>
      <c r="U387" s="1374"/>
      <c r="V387" s="3" t="s">
        <v>442</v>
      </c>
      <c r="W387" s="8"/>
      <c r="X387" s="8"/>
      <c r="Y387" s="8"/>
      <c r="Z387" s="8"/>
      <c r="AA387" s="8"/>
      <c r="AB387" s="8"/>
      <c r="AC387" s="1410"/>
      <c r="AD387" s="1410"/>
      <c r="AE387" s="1410"/>
      <c r="AF387" s="1410"/>
      <c r="AG387" s="1410"/>
      <c r="AH387" s="1410"/>
      <c r="AI387" s="1410"/>
      <c r="AJ387" s="1410"/>
    </row>
    <row r="388" spans="4:36" ht="13" customHeight="1">
      <c r="D388" t="s">
        <v>1179</v>
      </c>
      <c r="J388" s="1430" t="s">
        <v>2702</v>
      </c>
      <c r="K388" s="1430"/>
      <c r="L388" s="1430"/>
      <c r="M388" s="1430"/>
      <c r="N388" s="1430"/>
      <c r="O388" s="1430"/>
      <c r="P388" s="1430"/>
      <c r="Q388" s="1430"/>
      <c r="R388" s="1430"/>
      <c r="S388" s="1430"/>
      <c r="T388" s="1430"/>
      <c r="U388" s="1430"/>
      <c r="V388" s="1410"/>
      <c r="W388" s="1410"/>
      <c r="X388" s="1410"/>
      <c r="Y388" s="1410"/>
      <c r="Z388" s="1410"/>
      <c r="AA388" s="1410"/>
      <c r="AB388" s="1410"/>
      <c r="AC388" s="1410"/>
      <c r="AD388" s="1410"/>
      <c r="AE388" s="1410"/>
      <c r="AF388" s="1410"/>
      <c r="AG388" s="1410"/>
      <c r="AH388" s="1410"/>
      <c r="AI388" s="1410"/>
      <c r="AJ388" s="1410"/>
    </row>
    <row r="389" spans="4:36" ht="13" customHeight="1">
      <c r="D389" t="s">
        <v>4</v>
      </c>
      <c r="Q389" s="1593">
        <v>45796</v>
      </c>
      <c r="R389" s="1593"/>
      <c r="S389" s="1593"/>
      <c r="T389" s="1593"/>
      <c r="U389" s="1593"/>
      <c r="V389" t="s">
        <v>309</v>
      </c>
      <c r="AI389" s="1418" t="s">
        <v>546</v>
      </c>
      <c r="AJ389" s="1418"/>
    </row>
    <row r="390" spans="4:36" ht="13" customHeight="1">
      <c r="D390" t="s">
        <v>5</v>
      </c>
      <c r="Q390" s="1530">
        <v>46387</v>
      </c>
      <c r="R390" s="1531"/>
      <c r="S390" s="1531"/>
      <c r="T390" s="1531"/>
      <c r="U390" s="1531"/>
      <c r="W390" s="21" t="s">
        <v>74</v>
      </c>
      <c r="AG390" s="1451">
        <v>0</v>
      </c>
      <c r="AH390" s="1451"/>
      <c r="AI390" s="1451"/>
      <c r="AJ390" s="1451"/>
    </row>
    <row r="391" spans="4:36" ht="13" customHeight="1">
      <c r="D391" t="s">
        <v>427</v>
      </c>
      <c r="Q391" s="1452">
        <v>1</v>
      </c>
      <c r="R391" s="1452"/>
      <c r="S391" s="1452"/>
      <c r="T391" s="1452"/>
      <c r="U391" s="1452"/>
      <c r="V391" s="3" t="s">
        <v>1182</v>
      </c>
      <c r="AG391" s="1522">
        <v>46047</v>
      </c>
      <c r="AH391" s="1522"/>
      <c r="AI391" s="1522"/>
      <c r="AJ391" s="1522"/>
    </row>
    <row r="392" spans="4:36" ht="13" customHeight="1">
      <c r="D392" t="s">
        <v>88</v>
      </c>
      <c r="I392" s="1569" t="s">
        <v>2634</v>
      </c>
      <c r="J392" s="1569"/>
      <c r="K392" s="1569"/>
      <c r="L392" s="1569"/>
      <c r="M392" s="1569"/>
      <c r="N392" s="1569"/>
      <c r="Q392" s="4" t="s">
        <v>206</v>
      </c>
      <c r="S392" s="1450"/>
      <c r="T392" s="1450"/>
      <c r="U392" s="1450"/>
      <c r="V392" t="s">
        <v>73</v>
      </c>
      <c r="AI392" s="1418" t="s">
        <v>670</v>
      </c>
      <c r="AJ392" s="1418"/>
    </row>
    <row r="393" spans="4:36" ht="13" customHeight="1">
      <c r="D393" t="s">
        <v>310</v>
      </c>
      <c r="Q393" s="1524">
        <v>0</v>
      </c>
      <c r="R393" s="1524"/>
      <c r="S393" s="1524"/>
      <c r="T393" s="1524"/>
      <c r="U393" s="1524"/>
      <c r="V393" t="s">
        <v>311</v>
      </c>
      <c r="AG393" s="1451">
        <v>0</v>
      </c>
      <c r="AH393" s="1451"/>
      <c r="AI393" s="1451"/>
      <c r="AJ393" s="1451"/>
    </row>
    <row r="394" spans="4:36" ht="13" customHeight="1">
      <c r="D394" t="s">
        <v>312</v>
      </c>
      <c r="Q394" s="1583">
        <v>0.01</v>
      </c>
      <c r="R394" s="1583"/>
      <c r="S394" s="1583"/>
      <c r="T394" s="1583"/>
      <c r="U394" s="1583"/>
      <c r="V394" t="s">
        <v>1164</v>
      </c>
      <c r="AG394" s="1451">
        <v>0</v>
      </c>
      <c r="AH394" s="1451"/>
      <c r="AI394" s="1451"/>
      <c r="AJ394" s="1451"/>
    </row>
    <row r="395" spans="4:36" ht="13" customHeight="1">
      <c r="D395" t="s">
        <v>1163</v>
      </c>
      <c r="AG395" s="1451">
        <v>0</v>
      </c>
      <c r="AH395" s="1451"/>
      <c r="AI395" s="1451"/>
      <c r="AJ395" s="1451"/>
    </row>
    <row r="396" spans="4:36" ht="13" customHeight="1">
      <c r="AG396" s="456"/>
      <c r="AH396" s="456"/>
      <c r="AI396" s="456"/>
      <c r="AJ396" s="456"/>
    </row>
    <row r="397" spans="4:36" ht="13" customHeight="1">
      <c r="D397" s="3" t="s">
        <v>2144</v>
      </c>
      <c r="AG397" s="456"/>
      <c r="AH397" s="456"/>
      <c r="AI397" s="1418" t="s">
        <v>670</v>
      </c>
      <c r="AJ397" s="1418"/>
    </row>
    <row r="398" spans="4:36" ht="13" customHeight="1">
      <c r="D398" s="3" t="s">
        <v>1668</v>
      </c>
      <c r="T398" s="1437" t="s">
        <v>592</v>
      </c>
      <c r="U398" s="1437"/>
      <c r="V398" s="1437"/>
      <c r="W398" s="1437"/>
      <c r="X398" s="1437"/>
      <c r="Y398" s="1437"/>
      <c r="Z398" s="1437"/>
      <c r="AA398" s="1437"/>
      <c r="AB398" s="1437"/>
      <c r="AC398" s="1437"/>
      <c r="AD398" s="1437"/>
      <c r="AE398" s="1437"/>
      <c r="AF398" s="1437"/>
      <c r="AG398" s="1437"/>
      <c r="AH398" s="1437"/>
      <c r="AI398" s="1437"/>
      <c r="AJ398" s="1437"/>
    </row>
    <row r="399" spans="4:36" ht="13" customHeight="1">
      <c r="D399" s="3" t="s">
        <v>1667</v>
      </c>
      <c r="T399" s="1437" t="s">
        <v>592</v>
      </c>
      <c r="U399" s="1437"/>
      <c r="V399" s="1437"/>
      <c r="W399" s="1437"/>
      <c r="X399" s="1437"/>
      <c r="Y399" s="1437"/>
      <c r="Z399" s="1437"/>
      <c r="AA399" s="1437"/>
      <c r="AB399" s="1437"/>
      <c r="AC399" s="1437"/>
      <c r="AD399" s="1437"/>
      <c r="AE399" s="1437"/>
      <c r="AF399" s="1437"/>
      <c r="AG399" s="1437"/>
      <c r="AH399" s="1437"/>
      <c r="AI399" s="1437"/>
      <c r="AJ399" s="1437"/>
    </row>
    <row r="400" spans="4:36" ht="13" customHeight="1">
      <c r="AG400" s="456"/>
      <c r="AH400" s="456"/>
      <c r="AI400" s="456"/>
      <c r="AJ400" s="456"/>
    </row>
    <row r="401" spans="1:36" ht="13" customHeight="1">
      <c r="D401" s="3" t="s">
        <v>1661</v>
      </c>
      <c r="S401" s="1437" t="s">
        <v>670</v>
      </c>
      <c r="T401" s="1437"/>
      <c r="U401" s="1437"/>
      <c r="V401" t="s">
        <v>1662</v>
      </c>
      <c r="AG401" s="1533" t="s">
        <v>592</v>
      </c>
      <c r="AH401" s="1533"/>
      <c r="AI401" s="1533"/>
      <c r="AJ401" s="1533"/>
    </row>
    <row r="402" spans="1:36" ht="13" customHeight="1">
      <c r="D402" s="3" t="s">
        <v>1659</v>
      </c>
      <c r="S402" s="1437" t="s">
        <v>592</v>
      </c>
      <c r="T402" s="1437"/>
      <c r="U402" s="1437"/>
      <c r="V402" t="s">
        <v>1664</v>
      </c>
      <c r="AE402" s="1521">
        <v>0</v>
      </c>
      <c r="AF402" s="1521"/>
      <c r="AG402" s="1521"/>
      <c r="AH402" s="1521"/>
      <c r="AI402" s="1521"/>
      <c r="AJ402" s="1521"/>
    </row>
    <row r="403" spans="1:36" ht="13" customHeight="1">
      <c r="D403" s="3" t="s">
        <v>1660</v>
      </c>
      <c r="K403" s="1523" t="s">
        <v>592</v>
      </c>
      <c r="L403" s="1523"/>
      <c r="M403" s="1523"/>
      <c r="N403" s="1523"/>
      <c r="O403" s="1523"/>
      <c r="P403" s="1523"/>
      <c r="Q403" s="1523"/>
      <c r="R403" s="1523"/>
      <c r="S403" s="1523"/>
      <c r="T403" s="1523"/>
      <c r="U403" s="1523"/>
      <c r="V403" s="1523"/>
      <c r="W403" s="1523"/>
      <c r="X403" s="1523"/>
      <c r="Y403" s="1523"/>
      <c r="Z403" s="1523"/>
      <c r="AA403" s="1523"/>
      <c r="AB403" s="1523"/>
      <c r="AC403" s="1523"/>
      <c r="AD403" s="1523"/>
      <c r="AE403" s="1523"/>
      <c r="AF403" s="1523"/>
      <c r="AG403" s="1523"/>
      <c r="AH403" s="1523"/>
      <c r="AI403" s="1523"/>
      <c r="AJ403" s="1523"/>
    </row>
    <row r="404" spans="1:36" ht="13" customHeight="1">
      <c r="D404" s="3" t="s">
        <v>1663</v>
      </c>
      <c r="K404" s="1523" t="s">
        <v>592</v>
      </c>
      <c r="L404" s="1523"/>
      <c r="M404" s="1523"/>
      <c r="N404" s="1523"/>
      <c r="O404" s="1523"/>
      <c r="P404" s="1523"/>
      <c r="Q404" s="1523"/>
      <c r="R404" s="1523"/>
      <c r="S404" s="1523"/>
      <c r="T404" s="1523"/>
      <c r="U404" s="1523"/>
      <c r="V404" s="1523"/>
      <c r="W404" s="1523"/>
      <c r="X404" s="1523"/>
      <c r="Y404" s="1523"/>
      <c r="Z404" s="1523"/>
      <c r="AA404" s="1523"/>
      <c r="AB404" s="1523"/>
      <c r="AC404" s="1523"/>
      <c r="AD404" s="1523"/>
      <c r="AE404" s="1523"/>
      <c r="AF404" s="1523"/>
      <c r="AG404" s="1523"/>
      <c r="AH404" s="1523"/>
      <c r="AI404" s="1523"/>
      <c r="AJ404" s="1523"/>
    </row>
    <row r="405" spans="1:36" ht="13" customHeight="1">
      <c r="D405" s="3" t="s">
        <v>1666</v>
      </c>
      <c r="E405" s="477"/>
      <c r="F405" s="477"/>
      <c r="G405" s="477"/>
      <c r="H405" s="477"/>
      <c r="I405" s="477"/>
      <c r="J405" s="477"/>
      <c r="K405" s="477"/>
      <c r="L405" s="477"/>
      <c r="M405" s="477"/>
      <c r="N405" s="477"/>
      <c r="O405" s="477"/>
      <c r="P405" s="477"/>
      <c r="Q405" s="477"/>
      <c r="R405" s="477"/>
      <c r="S405" s="1448" t="s">
        <v>2703</v>
      </c>
      <c r="T405" s="1448"/>
      <c r="U405" s="1448"/>
      <c r="V405" s="1448"/>
      <c r="W405" s="1448"/>
      <c r="X405" s="1448"/>
      <c r="Y405" s="1448"/>
      <c r="Z405" s="1448"/>
      <c r="AA405" s="1448"/>
      <c r="AB405" s="1448"/>
      <c r="AC405" s="1448"/>
      <c r="AD405" s="1448"/>
      <c r="AE405" s="1448"/>
      <c r="AF405" s="1448"/>
      <c r="AG405" s="1448"/>
      <c r="AH405" s="1448"/>
      <c r="AI405" s="1448"/>
      <c r="AJ405" s="1448"/>
    </row>
    <row r="406" spans="1:36" ht="13" customHeight="1">
      <c r="D406" s="1269" t="s">
        <v>1665</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56"/>
      <c r="AH408" s="456"/>
      <c r="AI408" s="456"/>
      <c r="AJ408" s="456"/>
    </row>
    <row r="409" spans="1:36" ht="13" customHeight="1">
      <c r="A409" s="2" t="s">
        <v>590</v>
      </c>
      <c r="B409" s="2"/>
      <c r="C409" s="2" t="s">
        <v>111</v>
      </c>
    </row>
    <row r="410" spans="1:36" ht="13" customHeight="1">
      <c r="B410" s="2"/>
      <c r="C410" s="2"/>
      <c r="D410" s="2" t="s">
        <v>1205</v>
      </c>
      <c r="I410" s="1532" t="s">
        <v>2704</v>
      </c>
      <c r="J410" s="1532"/>
      <c r="K410" s="1532"/>
      <c r="L410" s="1532"/>
      <c r="M410" s="1532"/>
      <c r="N410" s="1532"/>
      <c r="O410" s="1532"/>
      <c r="P410" s="1532"/>
      <c r="Q410" s="1532"/>
      <c r="R410" s="1532"/>
      <c r="S410" s="1532"/>
      <c r="T410" s="1532"/>
      <c r="U410" s="1532"/>
      <c r="V410" s="1532"/>
      <c r="W410" s="1532"/>
      <c r="X410" s="1532"/>
      <c r="Y410" s="1532"/>
      <c r="Z410" s="1532"/>
      <c r="AA410" s="1532"/>
      <c r="AB410" s="1532"/>
      <c r="AC410" s="1532"/>
      <c r="AD410" s="1532"/>
      <c r="AE410" s="1532"/>
    </row>
    <row r="411" spans="1:36" ht="13" customHeight="1">
      <c r="E411" t="s">
        <v>106</v>
      </c>
      <c r="R411" s="1418" t="s">
        <v>546</v>
      </c>
      <c r="S411" s="1418"/>
      <c r="AC411" s="27" t="s">
        <v>571</v>
      </c>
      <c r="AD411" s="1393">
        <v>7</v>
      </c>
      <c r="AE411" s="1393"/>
    </row>
    <row r="412" spans="1:36" ht="13" customHeight="1">
      <c r="E412" t="s">
        <v>107</v>
      </c>
      <c r="R412" s="1418" t="s">
        <v>592</v>
      </c>
      <c r="S412" s="1418"/>
      <c r="AC412" s="27" t="s">
        <v>571</v>
      </c>
      <c r="AD412" s="1393" t="s">
        <v>592</v>
      </c>
      <c r="AE412" s="1393"/>
    </row>
    <row r="413" spans="1:36" ht="13" customHeight="1">
      <c r="E413" t="s">
        <v>108</v>
      </c>
      <c r="S413" s="1418" t="s">
        <v>546</v>
      </c>
      <c r="T413" s="1418"/>
    </row>
    <row r="414" spans="1:36" ht="13" customHeight="1">
      <c r="E414" t="s">
        <v>170</v>
      </c>
      <c r="H414" s="1584" t="s">
        <v>2738</v>
      </c>
      <c r="I414" s="1584"/>
      <c r="J414" s="1584"/>
      <c r="K414" s="1584"/>
      <c r="L414" s="1584"/>
      <c r="M414" s="1584"/>
      <c r="N414" s="1584"/>
      <c r="O414" s="1584"/>
      <c r="P414" s="1584"/>
      <c r="Q414" s="1584"/>
      <c r="R414" s="1584"/>
      <c r="S414" s="1584"/>
      <c r="T414" s="1584"/>
      <c r="U414" s="1584"/>
      <c r="V414" s="1584"/>
      <c r="W414" s="1584"/>
      <c r="X414" s="1584"/>
      <c r="Y414" s="1584"/>
      <c r="Z414" s="1584"/>
      <c r="AA414" s="1584"/>
      <c r="AB414" s="1584"/>
      <c r="AC414" s="1584"/>
      <c r="AD414" s="1584"/>
      <c r="AE414" s="1584"/>
    </row>
    <row r="415" spans="1:36" ht="13" customHeight="1">
      <c r="H415" s="1585"/>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row>
    <row r="416" spans="1:36" ht="13" customHeight="1"/>
    <row r="417" spans="1:39" ht="13" customHeight="1">
      <c r="A417" s="2" t="s">
        <v>591</v>
      </c>
      <c r="B417" s="2"/>
      <c r="C417" s="2"/>
      <c r="D417" s="2" t="s">
        <v>114</v>
      </c>
      <c r="AF417" s="2" t="s">
        <v>958</v>
      </c>
    </row>
    <row r="418" spans="1:39" ht="13" customHeight="1">
      <c r="E418" s="1446"/>
      <c r="F418" s="1446"/>
      <c r="G418" s="1446"/>
      <c r="H418" s="13" t="s">
        <v>115</v>
      </c>
      <c r="I418" s="1446"/>
      <c r="J418" s="1446"/>
      <c r="K418" s="1446"/>
      <c r="L418" t="s">
        <v>116</v>
      </c>
      <c r="N418" s="27" t="s">
        <v>576</v>
      </c>
      <c r="P418" s="1587">
        <v>0.65500000000000003</v>
      </c>
      <c r="Q418" s="1587"/>
      <c r="R418" s="1587"/>
      <c r="S418" t="s">
        <v>117</v>
      </c>
      <c r="W418" s="1447">
        <f>IF(E418&gt;0,(E418*I418),(P418*43560))</f>
        <v>28531.800000000003</v>
      </c>
      <c r="X418" s="1447"/>
      <c r="Y418" s="1447"/>
      <c r="Z418" t="s">
        <v>118</v>
      </c>
      <c r="AF418" s="1588">
        <f>IFERROR(IF(P418&gt;0,(AG437/P418),(AG437/(W418/43560))),0)</f>
        <v>137.40458015267174</v>
      </c>
      <c r="AG418" s="1588"/>
      <c r="AH418" s="1588"/>
      <c r="AM418" s="3"/>
    </row>
    <row r="419" spans="1:39" ht="13" customHeight="1">
      <c r="E419" t="s">
        <v>51</v>
      </c>
    </row>
    <row r="420" spans="1:39" ht="13" customHeight="1">
      <c r="E420" s="1498"/>
      <c r="F420" s="1498"/>
      <c r="G420" s="1498"/>
      <c r="H420" s="1498"/>
      <c r="I420" s="1498"/>
      <c r="J420" s="1498"/>
      <c r="K420" s="1498"/>
      <c r="L420" s="1498"/>
      <c r="M420" s="1498"/>
      <c r="N420" s="1498"/>
      <c r="O420" s="1498"/>
      <c r="P420" s="1498"/>
      <c r="Q420" s="1498"/>
      <c r="R420" s="1498"/>
      <c r="S420" s="1498"/>
      <c r="T420" s="1498"/>
      <c r="U420" s="1498"/>
      <c r="V420" s="1498"/>
      <c r="W420" s="1498"/>
      <c r="X420" s="1498"/>
      <c r="Y420" s="1498"/>
      <c r="Z420" s="1498"/>
      <c r="AA420" s="1498"/>
      <c r="AB420" s="1498"/>
      <c r="AC420" s="1498"/>
      <c r="AD420" s="1498"/>
      <c r="AE420" s="1498"/>
      <c r="AF420" s="1498"/>
      <c r="AG420" s="1498"/>
      <c r="AH420" s="1498"/>
      <c r="AI420" s="1498"/>
      <c r="AJ420" s="1498"/>
    </row>
    <row r="421" spans="1:39" ht="13" customHeight="1">
      <c r="E421" s="118" t="s">
        <v>1737</v>
      </c>
      <c r="F421" s="1013"/>
      <c r="G421" s="1013"/>
      <c r="H421" s="1013"/>
      <c r="I421" s="1586">
        <v>0.65500000000000003</v>
      </c>
      <c r="J421" s="1586"/>
      <c r="K421" s="1586"/>
      <c r="L421" s="1013"/>
      <c r="M421" s="118"/>
      <c r="N421" s="1013"/>
      <c r="O421" s="1013"/>
      <c r="P421" s="1839">
        <f>(DU755+DU778+DU800)/I421</f>
        <v>244.27480916030532</v>
      </c>
      <c r="Q421" s="1839"/>
      <c r="R421" s="1839"/>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593</v>
      </c>
      <c r="B423" s="2"/>
      <c r="C423" s="2"/>
      <c r="D423" s="2" t="s">
        <v>120</v>
      </c>
    </row>
    <row r="424" spans="1:39" ht="13" customHeight="1">
      <c r="E424" t="s">
        <v>121</v>
      </c>
      <c r="P424" s="1418">
        <v>1</v>
      </c>
      <c r="Q424" s="1418"/>
      <c r="S424" t="s">
        <v>189</v>
      </c>
      <c r="AE424" s="1418">
        <v>1</v>
      </c>
      <c r="AF424" s="1418"/>
    </row>
    <row r="425" spans="1:39" ht="13" customHeight="1">
      <c r="E425" t="s">
        <v>190</v>
      </c>
      <c r="P425" s="1418">
        <v>1</v>
      </c>
      <c r="Q425" s="1418"/>
      <c r="S425" t="s">
        <v>131</v>
      </c>
      <c r="AE425" s="1418" t="s">
        <v>592</v>
      </c>
      <c r="AF425" s="1418"/>
    </row>
    <row r="426" spans="1:39" ht="13" customHeight="1">
      <c r="F426" s="28" t="s">
        <v>132</v>
      </c>
    </row>
    <row r="427" spans="1:39" ht="13" customHeight="1">
      <c r="F427" s="1528" t="s">
        <v>592</v>
      </c>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3"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3" customHeight="1">
      <c r="E429" t="s">
        <v>609</v>
      </c>
      <c r="P429" s="1"/>
      <c r="Q429" s="1418" t="s">
        <v>546</v>
      </c>
      <c r="R429" s="1418"/>
    </row>
    <row r="430" spans="1:39" ht="13" customHeight="1">
      <c r="F430" t="s">
        <v>610</v>
      </c>
      <c r="P430" s="1"/>
      <c r="Q430" s="1"/>
      <c r="AF430" s="1418" t="s">
        <v>592</v>
      </c>
      <c r="AG430" s="1500"/>
    </row>
    <row r="431" spans="1:39" ht="13" customHeight="1"/>
    <row r="432" spans="1:39" ht="13" customHeight="1">
      <c r="A432" s="2"/>
      <c r="B432" s="2"/>
      <c r="C432" s="2"/>
      <c r="E432" s="4" t="s">
        <v>308</v>
      </c>
      <c r="Z432" s="1418" t="s">
        <v>670</v>
      </c>
      <c r="AA432" s="1418"/>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708</v>
      </c>
      <c r="G434" s="40"/>
      <c r="I434" s="40"/>
      <c r="J434" s="40"/>
      <c r="K434" s="40"/>
      <c r="L434" s="40"/>
      <c r="M434" s="40"/>
      <c r="N434" s="40"/>
      <c r="O434" s="28"/>
      <c r="P434" s="40"/>
      <c r="Q434" s="40"/>
      <c r="R434" s="40"/>
      <c r="S434" s="40"/>
      <c r="T434" s="40"/>
      <c r="U434" s="40"/>
      <c r="V434" s="40"/>
      <c r="W434" s="40"/>
      <c r="Z434" s="1418" t="s">
        <v>592</v>
      </c>
      <c r="AA434" s="1418"/>
    </row>
    <row r="435" spans="1:55" ht="13" customHeight="1"/>
    <row r="436" spans="1:55" ht="13" customHeight="1">
      <c r="A436" s="2" t="s">
        <v>468</v>
      </c>
      <c r="B436" s="2"/>
      <c r="C436" s="2"/>
      <c r="D436" s="2" t="s">
        <v>765</v>
      </c>
      <c r="AF436" s="48"/>
    </row>
    <row r="437" spans="1:55" ht="13" customHeight="1">
      <c r="D437" s="1499" t="s">
        <v>43</v>
      </c>
      <c r="E437" s="1444"/>
      <c r="F437" s="1444"/>
      <c r="G437" s="1444"/>
      <c r="H437" s="1444"/>
      <c r="I437" s="1444"/>
      <c r="J437" s="1444"/>
      <c r="K437" s="1444"/>
      <c r="L437" s="1444"/>
      <c r="M437" s="1444"/>
      <c r="N437" s="1444"/>
      <c r="O437" s="1444"/>
      <c r="P437" s="1444"/>
      <c r="Q437" s="1444"/>
      <c r="R437" s="1444"/>
      <c r="S437" s="1444"/>
      <c r="T437" s="1444"/>
      <c r="U437" s="1444"/>
      <c r="V437" s="1444"/>
      <c r="W437" s="1444"/>
      <c r="X437" s="1444"/>
      <c r="Y437" s="1444"/>
      <c r="Z437" s="1444"/>
      <c r="AA437" s="1444"/>
      <c r="AB437" s="1444"/>
      <c r="AC437" s="1444"/>
      <c r="AD437" s="1444"/>
      <c r="AE437" s="1444"/>
      <c r="AF437" s="1445"/>
      <c r="AG437" s="1388">
        <v>90</v>
      </c>
      <c r="AH437" s="1388"/>
      <c r="AI437" s="1388"/>
      <c r="AJ437" s="1388"/>
    </row>
    <row r="438" spans="1:55" ht="13" customHeight="1">
      <c r="D438" s="1421" t="s">
        <v>1223</v>
      </c>
      <c r="E438" s="1422"/>
      <c r="F438" s="1422"/>
      <c r="G438" s="1422"/>
      <c r="H438" s="1422"/>
      <c r="I438" s="1422"/>
      <c r="J438" s="1422"/>
      <c r="K438" s="1422"/>
      <c r="L438" s="1422"/>
      <c r="M438" s="1422"/>
      <c r="N438" s="1422"/>
      <c r="O438" s="1422"/>
      <c r="P438" s="1422"/>
      <c r="Q438" s="1422"/>
      <c r="R438" s="1422"/>
      <c r="S438" s="1422"/>
      <c r="T438" s="1422"/>
      <c r="U438" s="1422"/>
      <c r="V438" s="1422"/>
      <c r="W438" s="1422"/>
      <c r="X438" s="1422"/>
      <c r="Y438" s="1422"/>
      <c r="Z438" s="1422"/>
      <c r="AA438" s="1422"/>
      <c r="AB438" s="1422"/>
      <c r="AC438" s="1422"/>
      <c r="AD438" s="1422"/>
      <c r="AE438" s="1422"/>
      <c r="AF438" s="1423"/>
      <c r="AG438" s="1466">
        <v>0</v>
      </c>
      <c r="AH438" s="1467"/>
      <c r="AI438" s="1467"/>
      <c r="AJ438" s="1467"/>
    </row>
    <row r="439" spans="1:55" ht="13" customHeight="1">
      <c r="D439" s="1421" t="s">
        <v>1032</v>
      </c>
      <c r="E439" s="1422"/>
      <c r="F439" s="1422"/>
      <c r="G439" s="1422"/>
      <c r="H439" s="1422"/>
      <c r="I439" s="1422"/>
      <c r="J439" s="1422"/>
      <c r="K439" s="1422"/>
      <c r="L439" s="1422"/>
      <c r="M439" s="1422"/>
      <c r="N439" s="1422"/>
      <c r="O439" s="1422"/>
      <c r="P439" s="1422"/>
      <c r="Q439" s="1422"/>
      <c r="R439" s="1422"/>
      <c r="S439" s="1422"/>
      <c r="T439" s="1422"/>
      <c r="U439" s="1422"/>
      <c r="V439" s="1422"/>
      <c r="W439" s="1422"/>
      <c r="X439" s="1422"/>
      <c r="Y439" s="1422"/>
      <c r="Z439" s="1422"/>
      <c r="AA439" s="1422"/>
      <c r="AB439" s="1422"/>
      <c r="AC439" s="1422"/>
      <c r="AD439" s="1422"/>
      <c r="AE439" s="1422"/>
      <c r="AF439" s="1423"/>
      <c r="AG439" s="1388">
        <v>89</v>
      </c>
      <c r="AH439" s="1388"/>
      <c r="AI439" s="1388"/>
      <c r="AJ439" s="1388"/>
    </row>
    <row r="440" spans="1:55" ht="13" customHeight="1">
      <c r="D440" s="1421" t="s">
        <v>1033</v>
      </c>
      <c r="E440" s="1422"/>
      <c r="F440" s="1422"/>
      <c r="G440" s="1422"/>
      <c r="H440" s="1422"/>
      <c r="I440" s="1422"/>
      <c r="J440" s="1422"/>
      <c r="K440" s="1422"/>
      <c r="L440" s="1422"/>
      <c r="M440" s="1422"/>
      <c r="N440" s="1422"/>
      <c r="O440" s="1422"/>
      <c r="P440" s="1422"/>
      <c r="Q440" s="1422"/>
      <c r="R440" s="1422"/>
      <c r="S440" s="1422"/>
      <c r="T440" s="1422"/>
      <c r="U440" s="1422"/>
      <c r="V440" s="1422"/>
      <c r="W440" s="1422"/>
      <c r="X440" s="1422"/>
      <c r="Y440" s="1422"/>
      <c r="Z440" s="1422"/>
      <c r="AA440" s="1422"/>
      <c r="AB440" s="1422"/>
      <c r="AC440" s="1422"/>
      <c r="AD440" s="1422"/>
      <c r="AE440" s="1422"/>
      <c r="AF440" s="1423"/>
      <c r="AG440" s="1388">
        <v>89</v>
      </c>
      <c r="AH440" s="1388"/>
      <c r="AI440" s="1388"/>
      <c r="AJ440" s="1388"/>
    </row>
    <row r="441" spans="1:55" ht="13" customHeight="1">
      <c r="D441" s="1421" t="s">
        <v>1035</v>
      </c>
      <c r="E441" s="1422"/>
      <c r="F441" s="1422"/>
      <c r="G441" s="1422"/>
      <c r="H441" s="1422"/>
      <c r="I441" s="1422"/>
      <c r="J441" s="1422"/>
      <c r="K441" s="1422"/>
      <c r="L441" s="1422"/>
      <c r="M441" s="1422"/>
      <c r="N441" s="1422"/>
      <c r="O441" s="1422"/>
      <c r="P441" s="1422"/>
      <c r="Q441" s="1422"/>
      <c r="R441" s="1422"/>
      <c r="S441" s="1422"/>
      <c r="T441" s="1422"/>
      <c r="U441" s="1422"/>
      <c r="V441" s="1422"/>
      <c r="W441" s="1422"/>
      <c r="X441" s="1422"/>
      <c r="Y441" s="1422"/>
      <c r="Z441" s="1422"/>
      <c r="AA441" s="1422"/>
      <c r="AB441" s="1422"/>
      <c r="AC441" s="1422"/>
      <c r="AD441" s="1422"/>
      <c r="AE441" s="1422"/>
      <c r="AF441" s="1423"/>
      <c r="AG441" s="1420">
        <f>IF(ISERROR(AG440/AG439),0,AG440/AG439)</f>
        <v>1</v>
      </c>
      <c r="AH441" s="1420"/>
      <c r="AI441" s="1420"/>
      <c r="AJ441" s="1420"/>
    </row>
    <row r="442" spans="1:55" ht="13" customHeight="1">
      <c r="D442" s="1421" t="s">
        <v>1034</v>
      </c>
      <c r="E442" s="1422"/>
      <c r="F442" s="1422"/>
      <c r="G442" s="1422"/>
      <c r="H442" s="1422"/>
      <c r="I442" s="1422"/>
      <c r="J442" s="1422"/>
      <c r="K442" s="1422"/>
      <c r="L442" s="1422"/>
      <c r="M442" s="1422"/>
      <c r="N442" s="1422"/>
      <c r="O442" s="1422"/>
      <c r="P442" s="1422"/>
      <c r="Q442" s="1422"/>
      <c r="R442" s="1422"/>
      <c r="S442" s="1422"/>
      <c r="T442" s="1422"/>
      <c r="U442" s="1422"/>
      <c r="V442" s="1422"/>
      <c r="W442" s="1422"/>
      <c r="X442" s="1422"/>
      <c r="Y442" s="1422"/>
      <c r="Z442" s="1422"/>
      <c r="AA442" s="1422"/>
      <c r="AB442" s="1422"/>
      <c r="AC442" s="1422"/>
      <c r="AD442" s="1422"/>
      <c r="AE442" s="1422"/>
      <c r="AF442" s="1423"/>
      <c r="AG442" s="1419">
        <f>64407-726</f>
        <v>63681</v>
      </c>
      <c r="AH442" s="1419"/>
      <c r="AI442" s="1419"/>
      <c r="AJ442" s="1419"/>
    </row>
    <row r="443" spans="1:55" ht="13" customHeight="1">
      <c r="D443" s="1421" t="s">
        <v>1036</v>
      </c>
      <c r="E443" s="1422"/>
      <c r="F443" s="1422"/>
      <c r="G443" s="1422"/>
      <c r="H443" s="1422"/>
      <c r="I443" s="1422"/>
      <c r="J443" s="1422"/>
      <c r="K443" s="1422"/>
      <c r="L443" s="1422"/>
      <c r="M443" s="1422"/>
      <c r="N443" s="1422"/>
      <c r="O443" s="1422"/>
      <c r="P443" s="1422"/>
      <c r="Q443" s="1422"/>
      <c r="R443" s="1422"/>
      <c r="S443" s="1422"/>
      <c r="T443" s="1422"/>
      <c r="U443" s="1422"/>
      <c r="V443" s="1422"/>
      <c r="W443" s="1422"/>
      <c r="X443" s="1422"/>
      <c r="Y443" s="1422"/>
      <c r="Z443" s="1422"/>
      <c r="AA443" s="1422"/>
      <c r="AB443" s="1422"/>
      <c r="AC443" s="1422"/>
      <c r="AD443" s="1422"/>
      <c r="AE443" s="1422"/>
      <c r="AF443" s="1423"/>
      <c r="AG443" s="1419">
        <f>AG442</f>
        <v>63681</v>
      </c>
      <c r="AH443" s="1419"/>
      <c r="AI443" s="1419"/>
      <c r="AJ443" s="1419"/>
    </row>
    <row r="444" spans="1:55" ht="13" customHeight="1">
      <c r="D444" s="1421" t="s">
        <v>1037</v>
      </c>
      <c r="E444" s="1422"/>
      <c r="F444" s="1422"/>
      <c r="G444" s="1422"/>
      <c r="H444" s="1422"/>
      <c r="I444" s="1422"/>
      <c r="J444" s="1422"/>
      <c r="K444" s="1422"/>
      <c r="L444" s="1422"/>
      <c r="M444" s="1422"/>
      <c r="N444" s="1422"/>
      <c r="O444" s="1422"/>
      <c r="P444" s="1422"/>
      <c r="Q444" s="1422"/>
      <c r="R444" s="1422"/>
      <c r="S444" s="1422"/>
      <c r="T444" s="1422"/>
      <c r="U444" s="1422"/>
      <c r="V444" s="1422"/>
      <c r="W444" s="1422"/>
      <c r="X444" s="1422"/>
      <c r="Y444" s="1422"/>
      <c r="Z444" s="1422"/>
      <c r="AA444" s="1422"/>
      <c r="AB444" s="1422"/>
      <c r="AC444" s="1422"/>
      <c r="AD444" s="1422"/>
      <c r="AE444" s="1422"/>
      <c r="AF444" s="1423"/>
      <c r="AG444" s="1420">
        <f>IF(ISERROR(AG443/AG442),0,AG443/AG442)</f>
        <v>1</v>
      </c>
      <c r="AH444" s="1420"/>
      <c r="AI444" s="1420"/>
      <c r="AJ444" s="1420"/>
    </row>
    <row r="445" spans="1:55" ht="13" customHeight="1">
      <c r="D445" s="1421" t="s">
        <v>1038</v>
      </c>
      <c r="E445" s="1422"/>
      <c r="F445" s="1422"/>
      <c r="G445" s="1422"/>
      <c r="H445" s="1422"/>
      <c r="I445" s="1422"/>
      <c r="J445" s="1422"/>
      <c r="K445" s="1422"/>
      <c r="L445" s="1422"/>
      <c r="M445" s="1422"/>
      <c r="N445" s="1422"/>
      <c r="O445" s="1422"/>
      <c r="P445" s="1422"/>
      <c r="Q445" s="1422"/>
      <c r="R445" s="1422"/>
      <c r="S445" s="1422"/>
      <c r="T445" s="1422"/>
      <c r="U445" s="1422"/>
      <c r="V445" s="1422"/>
      <c r="W445" s="1422"/>
      <c r="X445" s="1422"/>
      <c r="Y445" s="1422"/>
      <c r="Z445" s="1422"/>
      <c r="AA445" s="1422"/>
      <c r="AB445" s="1422"/>
      <c r="AC445" s="1422"/>
      <c r="AD445" s="1422"/>
      <c r="AE445" s="1422"/>
      <c r="AF445" s="1423"/>
      <c r="AG445" s="1420">
        <f>MIN(IF(AG441&gt;AG444,AG444,AG441),1)</f>
        <v>1</v>
      </c>
      <c r="AH445" s="1420"/>
      <c r="AI445" s="1420"/>
      <c r="AJ445" s="1420"/>
    </row>
    <row r="446" spans="1:55" ht="13" customHeight="1">
      <c r="D446" s="1421" t="s">
        <v>2089</v>
      </c>
      <c r="E446" s="1444"/>
      <c r="F446" s="1444"/>
      <c r="G446" s="1444"/>
      <c r="H446" s="1444"/>
      <c r="I446" s="1444"/>
      <c r="J446" s="1444"/>
      <c r="K446" s="1444"/>
      <c r="L446" s="1444"/>
      <c r="M446" s="1444"/>
      <c r="N446" s="1444"/>
      <c r="O446" s="1444"/>
      <c r="P446" s="1444"/>
      <c r="Q446" s="1444"/>
      <c r="R446" s="1444"/>
      <c r="S446" s="1444"/>
      <c r="T446" s="1444"/>
      <c r="U446" s="1444"/>
      <c r="V446" s="1444"/>
      <c r="W446" s="1444"/>
      <c r="X446" s="1444"/>
      <c r="Y446" s="1444"/>
      <c r="Z446" s="1444"/>
      <c r="AA446" s="1444"/>
      <c r="AB446" s="1444"/>
      <c r="AC446" s="1444"/>
      <c r="AD446" s="1444"/>
      <c r="AE446" s="1444"/>
      <c r="AF446" s="1445"/>
      <c r="AG446" s="1419">
        <v>2017</v>
      </c>
      <c r="AH446" s="1419"/>
      <c r="AI446" s="1419"/>
      <c r="AJ446" s="1419"/>
      <c r="AZ446" s="34"/>
      <c r="BA446" s="34"/>
      <c r="BB446" s="34"/>
      <c r="BC446" s="34"/>
    </row>
    <row r="447" spans="1:55" ht="13" customHeight="1">
      <c r="D447" s="1499" t="s">
        <v>570</v>
      </c>
      <c r="E447" s="1444"/>
      <c r="F447" s="1444"/>
      <c r="G447" s="1444"/>
      <c r="H447" s="1444"/>
      <c r="I447" s="1444"/>
      <c r="J447" s="1444"/>
      <c r="K447" s="1444"/>
      <c r="L447" s="1444"/>
      <c r="M447" s="1444"/>
      <c r="N447" s="1444"/>
      <c r="O447" s="1444"/>
      <c r="P447" s="1444"/>
      <c r="Q447" s="1444"/>
      <c r="R447" s="1444"/>
      <c r="S447" s="1444"/>
      <c r="T447" s="1444"/>
      <c r="U447" s="1444"/>
      <c r="V447" s="1444"/>
      <c r="W447" s="1444"/>
      <c r="X447" s="1444"/>
      <c r="Y447" s="1444"/>
      <c r="Z447" s="1444"/>
      <c r="AA447" s="1444"/>
      <c r="AB447" s="1444"/>
      <c r="AC447" s="1444"/>
      <c r="AD447" s="1444"/>
      <c r="AE447" s="1444"/>
      <c r="AF447" s="1445"/>
      <c r="AG447" s="1419">
        <v>0</v>
      </c>
      <c r="AH447" s="1419"/>
      <c r="AI447" s="1419"/>
      <c r="AJ447" s="1419"/>
      <c r="AZ447" s="3"/>
      <c r="BA447" s="3"/>
      <c r="BB447" s="3"/>
      <c r="BC447" s="3"/>
    </row>
    <row r="448" spans="1:55" ht="13" customHeight="1">
      <c r="D448" s="1421" t="s">
        <v>1206</v>
      </c>
      <c r="E448" s="1444"/>
      <c r="F448" s="1444"/>
      <c r="G448" s="1444"/>
      <c r="H448" s="1444"/>
      <c r="I448" s="1444"/>
      <c r="J448" s="1444"/>
      <c r="K448" s="1444"/>
      <c r="L448" s="1444"/>
      <c r="M448" s="1444"/>
      <c r="N448" s="1444"/>
      <c r="O448" s="1444"/>
      <c r="P448" s="1444"/>
      <c r="Q448" s="1444"/>
      <c r="R448" s="1444"/>
      <c r="S448" s="1444"/>
      <c r="T448" s="1444"/>
      <c r="U448" s="1444"/>
      <c r="V448" s="1444"/>
      <c r="W448" s="1444"/>
      <c r="X448" s="1444"/>
      <c r="Y448" s="1444"/>
      <c r="Z448" s="1444"/>
      <c r="AA448" s="1444"/>
      <c r="AB448" s="1444"/>
      <c r="AC448" s="1444"/>
      <c r="AD448" s="1444"/>
      <c r="AE448" s="1444"/>
      <c r="AF448" s="1445"/>
      <c r="AG448" s="1419">
        <f>93748-AG446-AG443</f>
        <v>28050</v>
      </c>
      <c r="AH448" s="1419"/>
      <c r="AI448" s="1419"/>
      <c r="AJ448" s="1419"/>
      <c r="AZ448" s="3"/>
      <c r="BA448" s="3"/>
      <c r="BB448" s="3"/>
      <c r="BC448" s="3"/>
    </row>
    <row r="449" spans="1:55" ht="13" customHeight="1">
      <c r="D449" s="1421" t="s">
        <v>1039</v>
      </c>
      <c r="E449" s="1444"/>
      <c r="F449" s="1444"/>
      <c r="G449" s="1444"/>
      <c r="H449" s="1444"/>
      <c r="I449" s="1444"/>
      <c r="J449" s="1444"/>
      <c r="K449" s="1444"/>
      <c r="L449" s="1444"/>
      <c r="M449" s="1444"/>
      <c r="N449" s="1444"/>
      <c r="O449" s="1444"/>
      <c r="P449" s="1444"/>
      <c r="Q449" s="1444"/>
      <c r="R449" s="1444"/>
      <c r="S449" s="1444"/>
      <c r="T449" s="1444"/>
      <c r="U449" s="1444"/>
      <c r="V449" s="1444"/>
      <c r="W449" s="1444"/>
      <c r="X449" s="1444"/>
      <c r="Y449" s="1444"/>
      <c r="Z449" s="1444"/>
      <c r="AA449" s="1444"/>
      <c r="AB449" s="1444"/>
      <c r="AC449" s="1444"/>
      <c r="AD449" s="1444"/>
      <c r="AE449" s="1444"/>
      <c r="AF449" s="1445"/>
      <c r="AG449" s="1419">
        <v>45291</v>
      </c>
      <c r="AH449" s="1419"/>
      <c r="AI449" s="1419"/>
      <c r="AJ449" s="1419"/>
      <c r="BB449" s="3"/>
      <c r="BC449" s="3"/>
    </row>
    <row r="450" spans="1:55" ht="13" customHeight="1">
      <c r="D450" s="1580" t="s">
        <v>1040</v>
      </c>
      <c r="E450" s="158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F450" s="1582"/>
      <c r="AG450" s="1432">
        <f>AG442+AG446+AG448+AG449</f>
        <v>139039</v>
      </c>
      <c r="AH450" s="1432"/>
      <c r="AI450" s="1432"/>
      <c r="AJ450" s="1432"/>
      <c r="AZ450" s="3"/>
      <c r="BA450" s="3"/>
      <c r="BB450" s="3"/>
      <c r="BC450" s="3"/>
    </row>
    <row r="451" spans="1:55" ht="13" customHeight="1">
      <c r="D451" s="1589" t="s">
        <v>1207</v>
      </c>
      <c r="E451" s="1589"/>
      <c r="F451" s="1589"/>
      <c r="G451" s="1589"/>
      <c r="H451" s="1589"/>
      <c r="I451" s="1589"/>
      <c r="J451" s="1589"/>
      <c r="K451" s="1589"/>
      <c r="L451" s="1589"/>
      <c r="M451" s="1589"/>
      <c r="N451" s="1589"/>
      <c r="O451" s="1589"/>
      <c r="P451" s="1589"/>
      <c r="Q451" s="1589"/>
      <c r="R451" s="1589"/>
      <c r="S451" s="1589"/>
      <c r="T451" s="1589"/>
      <c r="U451" s="1589"/>
      <c r="V451" s="1589"/>
      <c r="W451" s="1589"/>
      <c r="X451" s="1589"/>
      <c r="Y451" s="1589"/>
      <c r="Z451" s="1589"/>
      <c r="AA451" s="1589"/>
      <c r="AB451" s="1589"/>
      <c r="AC451" s="1589"/>
      <c r="AD451" s="1589"/>
      <c r="AE451" s="1589"/>
      <c r="AF451" s="1589"/>
      <c r="AG451" s="1589"/>
      <c r="AH451" s="1589"/>
      <c r="AI451" s="1589"/>
      <c r="AJ451" s="1589"/>
      <c r="AZ451" s="3"/>
      <c r="BA451" s="3"/>
      <c r="BB451" s="3"/>
      <c r="BC451" s="3"/>
    </row>
    <row r="452" spans="1:55" ht="13" customHeight="1">
      <c r="D452" s="1590"/>
      <c r="E452" s="1590"/>
      <c r="F452" s="1590"/>
      <c r="G452" s="1590"/>
      <c r="H452" s="1590"/>
      <c r="I452" s="1590"/>
      <c r="J452" s="1590"/>
      <c r="K452" s="1590"/>
      <c r="L452" s="1590"/>
      <c r="M452" s="1590"/>
      <c r="N452" s="1590"/>
      <c r="O452" s="1590"/>
      <c r="P452" s="1590"/>
      <c r="Q452" s="1590"/>
      <c r="R452" s="1590"/>
      <c r="S452" s="1590"/>
      <c r="T452" s="1590"/>
      <c r="U452" s="1590"/>
      <c r="V452" s="1590"/>
      <c r="W452" s="1590"/>
      <c r="X452" s="1590"/>
      <c r="Y452" s="1590"/>
      <c r="Z452" s="1590"/>
      <c r="AA452" s="1590"/>
      <c r="AB452" s="1590"/>
      <c r="AC452" s="1590"/>
      <c r="AD452" s="1590"/>
      <c r="AE452" s="1590"/>
      <c r="AF452" s="1590"/>
      <c r="AG452" s="1590"/>
      <c r="AH452" s="1590"/>
      <c r="AI452" s="1590"/>
      <c r="AJ452" s="1590"/>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6">
        <f>IF(AG437=0,"",'Sources and Uses Budget'!B105/Application!AG437)</f>
        <v>548955.6</v>
      </c>
      <c r="AD454" s="1376"/>
      <c r="AE454" s="1376"/>
      <c r="AF454" s="1376"/>
      <c r="AG454" s="177"/>
      <c r="AH454" s="177"/>
      <c r="AI454" s="177"/>
      <c r="AJ454" s="183"/>
      <c r="AZ454" s="3"/>
      <c r="BA454" s="3" t="str">
        <f>AG575</f>
        <v>Yes</v>
      </c>
      <c r="BB454" s="3"/>
      <c r="BC454" s="3"/>
    </row>
    <row r="455" spans="1:55" ht="13"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6">
        <f>IF(AG437=0,"",'Sources and Uses Budget'!C105/Application!AG437)</f>
        <v>548955.6</v>
      </c>
      <c r="AD455" s="1376"/>
      <c r="AE455" s="1376"/>
      <c r="AF455" s="1376"/>
      <c r="AG455" s="177"/>
      <c r="AH455" s="177"/>
      <c r="AI455" s="177"/>
      <c r="AJ455" s="183"/>
      <c r="AZ455" s="3"/>
      <c r="BA455" s="3"/>
      <c r="BB455" s="3"/>
      <c r="BC455" s="3"/>
    </row>
    <row r="456" spans="1:55" ht="13"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6">
        <f>IF(AG437=0,"",('Sources and Uses Budget'!$S$107+'Sources and Uses Budget'!$T$107)/Application!AG437)</f>
        <v>518095.93333333335</v>
      </c>
      <c r="AD456" s="1376"/>
      <c r="AE456" s="1376"/>
      <c r="AF456" s="1376"/>
      <c r="AG456" s="177"/>
      <c r="AH456" s="177"/>
      <c r="AI456" s="177"/>
      <c r="AJ456" s="183"/>
      <c r="AZ456" s="3"/>
      <c r="BA456" s="3"/>
      <c r="BB456" s="3"/>
      <c r="BC456" s="3"/>
    </row>
    <row r="457" spans="1:55" ht="13" customHeight="1">
      <c r="D457" s="177"/>
      <c r="E457" s="177"/>
      <c r="F457" s="1377" t="str">
        <f>IFERROR(IF(AC454&gt;650000,"Please provide a justification of cost per unit in Tab 12 for all projects with per unit costs of greater than $650,000.",""),"")</f>
        <v/>
      </c>
      <c r="G457" s="1377"/>
      <c r="H457" s="1377"/>
      <c r="I457" s="1377"/>
      <c r="J457" s="1377"/>
      <c r="K457" s="1377"/>
      <c r="L457" s="1377"/>
      <c r="M457" s="1377"/>
      <c r="N457" s="1377"/>
      <c r="O457" s="1377"/>
      <c r="P457" s="1377"/>
      <c r="Q457" s="1377"/>
      <c r="R457" s="1377"/>
      <c r="S457" s="1377"/>
      <c r="T457" s="1377"/>
      <c r="U457" s="1377"/>
      <c r="V457" s="1377"/>
      <c r="W457" s="1377"/>
      <c r="X457" s="1377"/>
      <c r="Y457" s="1377"/>
      <c r="Z457" s="1377"/>
      <c r="AA457" s="1377"/>
      <c r="AB457" s="1377"/>
      <c r="AC457" s="515"/>
      <c r="AD457" s="177"/>
      <c r="AE457" s="177"/>
      <c r="AF457" s="177"/>
      <c r="AG457" s="177"/>
      <c r="AH457" s="177"/>
      <c r="AI457" s="177"/>
      <c r="AJ457" s="183"/>
      <c r="AZ457" s="3"/>
      <c r="BA457" s="3"/>
      <c r="BB457" s="3"/>
      <c r="BC457" s="3"/>
    </row>
    <row r="458" spans="1:55" ht="13" customHeight="1">
      <c r="A458" s="2"/>
      <c r="D458" s="2"/>
      <c r="E458" s="177"/>
      <c r="F458" s="1377"/>
      <c r="G458" s="1377"/>
      <c r="H458" s="1377"/>
      <c r="I458" s="1377"/>
      <c r="J458" s="1377"/>
      <c r="K458" s="1377"/>
      <c r="L458" s="1377"/>
      <c r="M458" s="1377"/>
      <c r="N458" s="1377"/>
      <c r="O458" s="1377"/>
      <c r="P458" s="1377"/>
      <c r="Q458" s="1377"/>
      <c r="R458" s="1377"/>
      <c r="S458" s="1377"/>
      <c r="T458" s="1377"/>
      <c r="U458" s="1377"/>
      <c r="V458" s="1377"/>
      <c r="W458" s="1377"/>
      <c r="X458" s="1377"/>
      <c r="Y458" s="1377"/>
      <c r="Z458" s="1377"/>
      <c r="AA458" s="1377"/>
      <c r="AB458" s="1377"/>
      <c r="AC458" s="177"/>
      <c r="AD458" s="177"/>
      <c r="AE458" s="177"/>
      <c r="AF458" s="177"/>
      <c r="AG458" s="177"/>
      <c r="AH458" s="177"/>
      <c r="AI458" s="177"/>
      <c r="AJ458" s="183"/>
      <c r="AZ458" s="3"/>
      <c r="BA458" s="3"/>
      <c r="BB458" s="3"/>
      <c r="BC458" s="3"/>
    </row>
    <row r="459" spans="1:55" ht="13"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7" t="s">
        <v>2101</v>
      </c>
      <c r="E465" s="1379"/>
      <c r="F465" s="1379"/>
      <c r="G465" s="1379"/>
      <c r="H465" s="1379"/>
      <c r="I465" s="1379"/>
      <c r="J465" s="1379"/>
      <c r="K465" s="1379"/>
      <c r="L465" s="1379"/>
      <c r="M465" s="1379"/>
      <c r="N465" s="1379"/>
      <c r="O465" s="1379"/>
      <c r="P465" s="1379"/>
      <c r="Q465" s="1379"/>
      <c r="R465" s="1379"/>
      <c r="S465" s="1379"/>
      <c r="T465" s="1379"/>
      <c r="U465" s="1379"/>
      <c r="V465" s="1380"/>
      <c r="W465" s="1394">
        <v>0</v>
      </c>
      <c r="X465" s="1395"/>
      <c r="Y465" s="1396"/>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8" t="s">
        <v>694</v>
      </c>
      <c r="E466" s="1379"/>
      <c r="F466" s="1379"/>
      <c r="G466" s="1379"/>
      <c r="H466" s="1379"/>
      <c r="I466" s="1379"/>
      <c r="J466" s="1379"/>
      <c r="K466" s="1379"/>
      <c r="L466" s="1379"/>
      <c r="M466" s="1379"/>
      <c r="N466" s="1379"/>
      <c r="O466" s="1379"/>
      <c r="P466" s="1379"/>
      <c r="Q466" s="1379"/>
      <c r="R466" s="1379"/>
      <c r="S466" s="1379"/>
      <c r="T466" s="1379"/>
      <c r="U466" s="1379"/>
      <c r="V466" s="1380"/>
      <c r="W466" s="1394">
        <v>0</v>
      </c>
      <c r="X466" s="1395"/>
      <c r="Y466" s="1396"/>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8" t="s">
        <v>695</v>
      </c>
      <c r="E467" s="1379"/>
      <c r="F467" s="1379"/>
      <c r="G467" s="1379"/>
      <c r="H467" s="1379"/>
      <c r="I467" s="1379"/>
      <c r="J467" s="1379"/>
      <c r="K467" s="1379"/>
      <c r="L467" s="1379"/>
      <c r="M467" s="1379"/>
      <c r="N467" s="1379"/>
      <c r="O467" s="1379"/>
      <c r="P467" s="1379"/>
      <c r="Q467" s="1379"/>
      <c r="R467" s="1379"/>
      <c r="S467" s="1379"/>
      <c r="T467" s="1379"/>
      <c r="U467" s="1379"/>
      <c r="V467" s="1380"/>
      <c r="W467" s="1394">
        <v>0</v>
      </c>
      <c r="X467" s="1395"/>
      <c r="Y467" s="1396"/>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8" t="s">
        <v>696</v>
      </c>
      <c r="E468" s="1379"/>
      <c r="F468" s="1379"/>
      <c r="G468" s="1379"/>
      <c r="H468" s="1379"/>
      <c r="I468" s="1379"/>
      <c r="J468" s="1379"/>
      <c r="K468" s="1379"/>
      <c r="L468" s="1379"/>
      <c r="M468" s="1379"/>
      <c r="N468" s="1379"/>
      <c r="O468" s="1379"/>
      <c r="P468" s="1379"/>
      <c r="Q468" s="1379"/>
      <c r="R468" s="1379"/>
      <c r="S468" s="1379"/>
      <c r="T468" s="1379"/>
      <c r="U468" s="1379"/>
      <c r="V468" s="1380"/>
      <c r="W468" s="1394">
        <v>0</v>
      </c>
      <c r="X468" s="1395"/>
      <c r="Y468" s="1396"/>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8" t="s">
        <v>882</v>
      </c>
      <c r="E469" s="1379"/>
      <c r="F469" s="1379"/>
      <c r="G469" s="1379"/>
      <c r="H469" s="1379"/>
      <c r="I469" s="1379"/>
      <c r="J469" s="1379"/>
      <c r="K469" s="1379"/>
      <c r="L469" s="1379"/>
      <c r="M469" s="1379"/>
      <c r="N469" s="1379"/>
      <c r="O469" s="1379"/>
      <c r="P469" s="1379"/>
      <c r="Q469" s="1379"/>
      <c r="R469" s="1379"/>
      <c r="S469" s="1379"/>
      <c r="T469" s="1379"/>
      <c r="U469" s="1379"/>
      <c r="V469" s="1380"/>
      <c r="W469" s="1394">
        <v>0</v>
      </c>
      <c r="X469" s="1395"/>
      <c r="Y469" s="1396"/>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8" t="s">
        <v>697</v>
      </c>
      <c r="E470" s="1379"/>
      <c r="F470" s="1379"/>
      <c r="G470" s="1379"/>
      <c r="H470" s="1379"/>
      <c r="I470" s="1379"/>
      <c r="J470" s="1379"/>
      <c r="K470" s="1379"/>
      <c r="L470" s="1379"/>
      <c r="M470" s="1379"/>
      <c r="N470" s="1379"/>
      <c r="O470" s="1379"/>
      <c r="P470" s="1379"/>
      <c r="Q470" s="1379"/>
      <c r="R470" s="1379"/>
      <c r="S470" s="1379"/>
      <c r="T470" s="1379"/>
      <c r="U470" s="1379"/>
      <c r="V470" s="1380"/>
      <c r="W470" s="1394">
        <v>0</v>
      </c>
      <c r="X470" s="1395"/>
      <c r="Y470" s="1396"/>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8" t="s">
        <v>1013</v>
      </c>
      <c r="E471" s="1379"/>
      <c r="F471" s="1379"/>
      <c r="G471" s="1379"/>
      <c r="H471" s="1379"/>
      <c r="I471" s="1379"/>
      <c r="J471" s="1379"/>
      <c r="K471" s="1379"/>
      <c r="L471" s="1379"/>
      <c r="M471" s="1379"/>
      <c r="N471" s="1379"/>
      <c r="O471" s="1379"/>
      <c r="P471" s="1379"/>
      <c r="Q471" s="1379"/>
      <c r="R471" s="1379"/>
      <c r="S471" s="1379"/>
      <c r="T471" s="1379"/>
      <c r="U471" s="1379"/>
      <c r="V471" s="1380"/>
      <c r="W471" s="1394">
        <v>0</v>
      </c>
      <c r="X471" s="1395"/>
      <c r="Y471" s="1396"/>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7" t="s">
        <v>2192</v>
      </c>
      <c r="E472" s="1397"/>
      <c r="F472" s="1397"/>
      <c r="G472" s="1397"/>
      <c r="H472" s="1397"/>
      <c r="I472" s="1397"/>
      <c r="J472" s="1397"/>
      <c r="K472" s="1397"/>
      <c r="L472" s="1397"/>
      <c r="M472" s="1397"/>
      <c r="N472" s="1397"/>
      <c r="O472" s="1397"/>
      <c r="P472" s="1397"/>
      <c r="Q472" s="1397"/>
      <c r="R472" s="1397"/>
      <c r="S472" s="1397"/>
      <c r="T472" s="1397"/>
      <c r="U472" s="1397"/>
      <c r="V472" s="1398"/>
      <c r="W472" s="1394">
        <v>0</v>
      </c>
      <c r="X472" s="1395"/>
      <c r="Y472" s="1396"/>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7" t="s">
        <v>1655</v>
      </c>
      <c r="E473" s="1379"/>
      <c r="F473" s="1379"/>
      <c r="G473" s="1379"/>
      <c r="H473" s="1379"/>
      <c r="I473" s="1379"/>
      <c r="J473" s="1379"/>
      <c r="K473" s="1379"/>
      <c r="L473" s="1379"/>
      <c r="M473" s="1379"/>
      <c r="N473" s="1379"/>
      <c r="O473" s="1379"/>
      <c r="P473" s="1379"/>
      <c r="Q473" s="1379"/>
      <c r="R473" s="1379"/>
      <c r="S473" s="1379"/>
      <c r="T473" s="1379"/>
      <c r="U473" s="1379"/>
      <c r="V473" s="1380"/>
      <c r="W473" s="1394">
        <f>14+9</f>
        <v>23</v>
      </c>
      <c r="X473" s="1395"/>
      <c r="Y473" s="1396"/>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170</v>
      </c>
      <c r="E474" s="244"/>
      <c r="F474" s="245"/>
      <c r="G474" s="1676"/>
      <c r="H474" s="1677"/>
      <c r="I474" s="1677"/>
      <c r="J474" s="1677"/>
      <c r="K474" s="1677"/>
      <c r="L474" s="1677"/>
      <c r="M474" s="1677"/>
      <c r="N474" s="1677"/>
      <c r="O474" s="1677"/>
      <c r="P474" s="1677"/>
      <c r="Q474" s="1677"/>
      <c r="R474" s="1677"/>
      <c r="S474" s="1677"/>
      <c r="T474" s="1677"/>
      <c r="U474" s="1677"/>
      <c r="V474" s="1678"/>
      <c r="W474" s="1394">
        <v>0</v>
      </c>
      <c r="X474" s="1395"/>
      <c r="Y474" s="1396"/>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No</v>
      </c>
      <c r="BB479" s="3"/>
      <c r="BC479" s="3"/>
    </row>
    <row r="480" spans="1:55" ht="13" customHeight="1">
      <c r="A480" s="1535" t="s">
        <v>811</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3"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3" customHeight="1">
      <c r="AZ482" s="3"/>
      <c r="BB482" s="3"/>
      <c r="BC482" s="3"/>
    </row>
    <row r="483" spans="1:55" ht="13" customHeight="1">
      <c r="A483" s="2" t="s">
        <v>319</v>
      </c>
      <c r="C483" s="2" t="s">
        <v>809</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9" t="s">
        <v>393</v>
      </c>
      <c r="R485" s="1390"/>
      <c r="S485" s="1390"/>
      <c r="T485" s="1390"/>
      <c r="U485" s="1390"/>
      <c r="V485" s="1390"/>
      <c r="W485" s="1390"/>
      <c r="X485" s="1390"/>
      <c r="Y485" s="1390"/>
      <c r="Z485" s="1390"/>
      <c r="AA485" s="1390"/>
      <c r="AB485" s="1390"/>
      <c r="AC485" s="1390"/>
      <c r="AD485" s="1390"/>
      <c r="AE485" s="1390"/>
      <c r="AF485" s="1390"/>
      <c r="AG485" s="1390"/>
      <c r="AH485" s="1390"/>
      <c r="AI485" s="1390"/>
      <c r="AJ485" s="1390"/>
      <c r="AK485" s="1391"/>
      <c r="AZ485" s="3"/>
      <c r="BB485" s="3"/>
      <c r="BC485" s="3"/>
    </row>
    <row r="486" spans="1:55" ht="13" customHeight="1">
      <c r="B486" s="45" t="s">
        <v>394</v>
      </c>
      <c r="C486" s="5"/>
      <c r="D486" s="5"/>
      <c r="E486" s="5"/>
      <c r="F486" s="5"/>
      <c r="G486" s="5"/>
      <c r="H486" s="5"/>
      <c r="I486" s="5"/>
      <c r="J486" s="5"/>
      <c r="K486" s="5"/>
      <c r="L486" s="5"/>
      <c r="M486" s="5"/>
      <c r="N486" s="5"/>
      <c r="O486" s="5"/>
      <c r="P486" s="5"/>
      <c r="Q486" s="1373" t="s">
        <v>2739</v>
      </c>
      <c r="R486" s="1374"/>
      <c r="S486" s="1374"/>
      <c r="T486" s="1374"/>
      <c r="U486" s="1374"/>
      <c r="V486" s="1374"/>
      <c r="W486" s="1374"/>
      <c r="X486" s="1374"/>
      <c r="Y486" s="1374"/>
      <c r="Z486" s="1374"/>
      <c r="AA486" s="1374"/>
      <c r="AB486" s="1374"/>
      <c r="AC486" s="1374"/>
      <c r="AD486" s="1374"/>
      <c r="AE486" s="1374"/>
      <c r="AF486" s="1374"/>
      <c r="AG486" s="1374"/>
      <c r="AH486" s="1374"/>
      <c r="AI486" s="1374"/>
      <c r="AJ486" s="1374"/>
      <c r="AK486" s="1375"/>
      <c r="AZ486" s="3"/>
      <c r="BB486" s="3"/>
      <c r="BC486" s="3"/>
    </row>
    <row r="487" spans="1:55" ht="13" customHeight="1">
      <c r="B487" s="45" t="s">
        <v>395</v>
      </c>
      <c r="C487" s="5"/>
      <c r="D487" s="5"/>
      <c r="E487" s="5"/>
      <c r="F487" s="5"/>
      <c r="G487" s="5"/>
      <c r="H487" s="5"/>
      <c r="I487" s="5"/>
      <c r="J487" s="5"/>
      <c r="K487" s="5"/>
      <c r="L487" s="5"/>
      <c r="M487" s="5"/>
      <c r="N487" s="5"/>
      <c r="O487" s="5"/>
      <c r="P487" s="5"/>
      <c r="Q487" s="1373" t="s">
        <v>2705</v>
      </c>
      <c r="R487" s="1374"/>
      <c r="S487" s="1374"/>
      <c r="T487" s="1374"/>
      <c r="U487" s="1374"/>
      <c r="V487" s="1374"/>
      <c r="W487" s="1374"/>
      <c r="X487" s="1374"/>
      <c r="Y487" s="1374"/>
      <c r="Z487" s="1374"/>
      <c r="AA487" s="1374"/>
      <c r="AB487" s="1374"/>
      <c r="AC487" s="1374"/>
      <c r="AD487" s="1374"/>
      <c r="AE487" s="1374"/>
      <c r="AF487" s="1374"/>
      <c r="AG487" s="1374"/>
      <c r="AH487" s="1374"/>
      <c r="AI487" s="1374"/>
      <c r="AJ487" s="1374"/>
      <c r="AK487" s="1375"/>
      <c r="AZ487" s="3"/>
      <c r="BB487" s="3"/>
      <c r="BC487" s="3"/>
    </row>
    <row r="488" spans="1:55" ht="13" customHeight="1">
      <c r="B488" s="45" t="s">
        <v>396</v>
      </c>
      <c r="C488" s="5"/>
      <c r="D488" s="5"/>
      <c r="E488" s="5"/>
      <c r="F488" s="5"/>
      <c r="G488" s="5"/>
      <c r="H488" s="5"/>
      <c r="I488" s="5"/>
      <c r="J488" s="5"/>
      <c r="K488" s="5"/>
      <c r="L488" s="5"/>
      <c r="M488" s="5"/>
      <c r="N488" s="5"/>
      <c r="O488" s="5"/>
      <c r="P488" s="5"/>
      <c r="Q488" s="1373" t="s">
        <v>2705</v>
      </c>
      <c r="R488" s="1374"/>
      <c r="S488" s="1374"/>
      <c r="T488" s="1374"/>
      <c r="U488" s="1374"/>
      <c r="V488" s="1374"/>
      <c r="W488" s="1374"/>
      <c r="X488" s="1374"/>
      <c r="Y488" s="1374"/>
      <c r="Z488" s="1374"/>
      <c r="AA488" s="1374"/>
      <c r="AB488" s="1374"/>
      <c r="AC488" s="1374"/>
      <c r="AD488" s="1374"/>
      <c r="AE488" s="1374"/>
      <c r="AF488" s="1374"/>
      <c r="AG488" s="1374"/>
      <c r="AH488" s="1374"/>
      <c r="AI488" s="1374"/>
      <c r="AJ488" s="1374"/>
      <c r="AK488" s="1375"/>
      <c r="AZ488" s="3"/>
      <c r="BA488" s="3"/>
      <c r="BB488" s="3"/>
      <c r="BC488" s="3"/>
    </row>
    <row r="489" spans="1:55" ht="13" customHeight="1">
      <c r="B489" s="1456" t="s">
        <v>397</v>
      </c>
      <c r="C489" s="1457"/>
      <c r="D489" s="1457"/>
      <c r="E489" s="1457"/>
      <c r="F489" s="1457"/>
      <c r="G489" s="1457"/>
      <c r="H489" s="1457"/>
      <c r="I489" s="1457"/>
      <c r="J489" s="1457"/>
      <c r="K489" s="1457"/>
      <c r="L489" s="1457"/>
      <c r="M489" s="1457"/>
      <c r="N489" s="1457"/>
      <c r="O489" s="1457"/>
      <c r="P489" s="1458"/>
      <c r="Q489" s="1462" t="s">
        <v>670</v>
      </c>
      <c r="R489" s="1463"/>
      <c r="S489" s="1572" t="s">
        <v>166</v>
      </c>
      <c r="T489" s="1573"/>
      <c r="U489" s="1573"/>
      <c r="V489" s="1573"/>
      <c r="W489" s="1573"/>
      <c r="X489" s="1573"/>
      <c r="Y489" s="1573"/>
      <c r="Z489" s="1573"/>
      <c r="AA489" s="1573"/>
      <c r="AB489" s="1573"/>
      <c r="AC489" s="1573"/>
      <c r="AD489" s="1573"/>
      <c r="AE489" s="1573"/>
      <c r="AF489" s="1573"/>
      <c r="AG489" s="1573"/>
      <c r="AH489" s="1573"/>
      <c r="AI489" s="1573"/>
      <c r="AJ489" s="1573"/>
      <c r="AK489" s="1574"/>
      <c r="AZ489" s="3"/>
      <c r="BA489" s="3"/>
      <c r="BB489" s="3"/>
      <c r="BC489" s="3"/>
    </row>
    <row r="490" spans="1:55" ht="13" customHeight="1">
      <c r="B490" s="1459"/>
      <c r="C490" s="1460"/>
      <c r="D490" s="1460"/>
      <c r="E490" s="1460"/>
      <c r="F490" s="1460"/>
      <c r="G490" s="1460"/>
      <c r="H490" s="1460"/>
      <c r="I490" s="1460"/>
      <c r="J490" s="1460"/>
      <c r="K490" s="1460"/>
      <c r="L490" s="1460"/>
      <c r="M490" s="1460"/>
      <c r="N490" s="1460"/>
      <c r="O490" s="1460"/>
      <c r="P490" s="1461"/>
      <c r="Q490" s="1464"/>
      <c r="R490" s="1465"/>
      <c r="S490" s="1575"/>
      <c r="T490" s="1529"/>
      <c r="U490" s="1529"/>
      <c r="V490" s="1529"/>
      <c r="W490" s="1529"/>
      <c r="X490" s="1529"/>
      <c r="Y490" s="1529"/>
      <c r="Z490" s="1529"/>
      <c r="AA490" s="1529"/>
      <c r="AB490" s="1529"/>
      <c r="AC490" s="1529"/>
      <c r="AD490" s="1529"/>
      <c r="AE490" s="1529"/>
      <c r="AF490" s="1529"/>
      <c r="AG490" s="1529"/>
      <c r="AH490" s="1529"/>
      <c r="AI490" s="1529"/>
      <c r="AJ490" s="1529"/>
      <c r="AK490" s="1576"/>
      <c r="AZ490" s="3"/>
      <c r="BA490" s="3"/>
      <c r="BB490" s="3"/>
      <c r="BC490" s="3"/>
    </row>
    <row r="491" spans="1:55" ht="13" customHeight="1">
      <c r="B491" s="895" t="s">
        <v>1672</v>
      </c>
      <c r="C491" s="873"/>
      <c r="D491" s="873"/>
      <c r="E491" s="873"/>
      <c r="F491" s="873"/>
      <c r="G491" s="873"/>
      <c r="H491" s="873"/>
      <c r="I491" s="873"/>
      <c r="J491" s="873"/>
      <c r="K491" s="873"/>
      <c r="L491" s="873"/>
      <c r="M491" s="873"/>
      <c r="N491" s="873"/>
      <c r="O491" s="873"/>
      <c r="P491" s="873"/>
      <c r="Q491" s="1381" t="s">
        <v>670</v>
      </c>
      <c r="R491" s="1382"/>
      <c r="S491" s="1382"/>
      <c r="T491" s="1382"/>
      <c r="U491" s="1382"/>
      <c r="V491" s="1382"/>
      <c r="W491" s="1382"/>
      <c r="X491" s="1382"/>
      <c r="Y491" s="1382"/>
      <c r="Z491" s="1382"/>
      <c r="AA491" s="1382"/>
      <c r="AB491" s="1382"/>
      <c r="AC491" s="1382"/>
      <c r="AD491" s="1382"/>
      <c r="AE491" s="1382"/>
      <c r="AF491" s="1382"/>
      <c r="AG491" s="1382"/>
      <c r="AH491" s="1382"/>
      <c r="AI491" s="1382"/>
      <c r="AJ491" s="1382"/>
      <c r="AK491" s="1383"/>
      <c r="AZ491" s="3"/>
      <c r="BA491" s="3"/>
      <c r="BB491" s="3"/>
      <c r="BC491" s="3"/>
    </row>
    <row r="492" spans="1:55" ht="13" customHeight="1">
      <c r="B492" s="45" t="s">
        <v>398</v>
      </c>
      <c r="C492" s="5"/>
      <c r="D492" s="5"/>
      <c r="E492" s="5"/>
      <c r="F492" s="5"/>
      <c r="G492" s="5"/>
      <c r="H492" s="5"/>
      <c r="I492" s="5"/>
      <c r="J492" s="5"/>
      <c r="K492" s="5"/>
      <c r="L492" s="5"/>
      <c r="M492" s="5"/>
      <c r="N492" s="5"/>
      <c r="O492" s="5"/>
      <c r="P492" s="5"/>
      <c r="Q492" s="1373" t="s">
        <v>2740</v>
      </c>
      <c r="R492" s="1374"/>
      <c r="S492" s="1374"/>
      <c r="T492" s="1374"/>
      <c r="U492" s="1374"/>
      <c r="V492" s="1374"/>
      <c r="W492" s="1374"/>
      <c r="X492" s="1374"/>
      <c r="Y492" s="1374"/>
      <c r="Z492" s="1374"/>
      <c r="AA492" s="1374"/>
      <c r="AB492" s="1374"/>
      <c r="AC492" s="1374"/>
      <c r="AD492" s="1374"/>
      <c r="AE492" s="1374"/>
      <c r="AF492" s="1374"/>
      <c r="AG492" s="1374"/>
      <c r="AH492" s="1374"/>
      <c r="AI492" s="1374"/>
      <c r="AJ492" s="1374"/>
      <c r="AK492" s="1375"/>
      <c r="AZ492" s="3"/>
      <c r="BA492" s="3"/>
      <c r="BB492" s="3"/>
      <c r="BC492" s="3"/>
    </row>
    <row r="493" spans="1:55" ht="13" customHeight="1">
      <c r="B493" s="45" t="s">
        <v>399</v>
      </c>
      <c r="C493" s="5"/>
      <c r="D493" s="5"/>
      <c r="E493" s="5"/>
      <c r="F493" s="5"/>
      <c r="G493" s="5"/>
      <c r="H493" s="5"/>
      <c r="I493" s="5"/>
      <c r="J493" s="5"/>
      <c r="K493" s="5"/>
      <c r="L493" s="5"/>
      <c r="M493" s="5"/>
      <c r="N493" s="5"/>
      <c r="O493" s="5"/>
      <c r="P493" s="5"/>
      <c r="Q493" s="1373" t="s">
        <v>2741</v>
      </c>
      <c r="R493" s="1374"/>
      <c r="S493" s="1374"/>
      <c r="T493" s="1374"/>
      <c r="U493" s="1374"/>
      <c r="V493" s="1374"/>
      <c r="W493" s="1374"/>
      <c r="X493" s="1374"/>
      <c r="Y493" s="1374"/>
      <c r="Z493" s="1374"/>
      <c r="AA493" s="1374"/>
      <c r="AB493" s="1374"/>
      <c r="AC493" s="1374"/>
      <c r="AD493" s="1374"/>
      <c r="AE493" s="1374"/>
      <c r="AF493" s="1374"/>
      <c r="AG493" s="1374"/>
      <c r="AH493" s="1374"/>
      <c r="AI493" s="1374"/>
      <c r="AJ493" s="1374"/>
      <c r="AK493" s="1375"/>
      <c r="AZ493" s="3"/>
      <c r="BA493" s="3"/>
      <c r="BB493" s="3"/>
      <c r="BC493" s="3"/>
    </row>
    <row r="494" spans="1:55" ht="13" customHeight="1">
      <c r="B494" s="121" t="s">
        <v>1669</v>
      </c>
      <c r="C494" s="5"/>
      <c r="D494" s="5"/>
      <c r="E494" s="5"/>
      <c r="F494" s="5"/>
      <c r="G494" s="5"/>
      <c r="H494" s="5"/>
      <c r="I494" s="5"/>
      <c r="J494" s="5"/>
      <c r="K494" s="5"/>
      <c r="L494" s="5"/>
      <c r="M494" s="5"/>
      <c r="N494" s="5"/>
      <c r="O494" s="5"/>
      <c r="P494" s="5"/>
      <c r="Q494" s="1373">
        <v>86</v>
      </c>
      <c r="R494" s="1374"/>
      <c r="S494" s="1374"/>
      <c r="T494" s="1374"/>
      <c r="U494" s="1374"/>
      <c r="V494" s="1374"/>
      <c r="W494" s="1374"/>
      <c r="X494" s="1374"/>
      <c r="Y494" s="1374"/>
      <c r="Z494" s="1374"/>
      <c r="AA494" s="1374"/>
      <c r="AB494" s="1374"/>
      <c r="AC494" s="1374"/>
      <c r="AD494" s="1374"/>
      <c r="AE494" s="1374"/>
      <c r="AF494" s="1374"/>
      <c r="AG494" s="1374"/>
      <c r="AH494" s="1374"/>
      <c r="AI494" s="1374"/>
      <c r="AJ494" s="1374"/>
      <c r="AK494" s="1375"/>
      <c r="AZ494" s="3"/>
      <c r="BA494" s="3"/>
      <c r="BB494" s="3"/>
      <c r="BC494" s="3"/>
    </row>
    <row r="495" spans="1:55" ht="13" customHeight="1">
      <c r="B495" s="121" t="s">
        <v>1670</v>
      </c>
      <c r="C495" s="5"/>
      <c r="D495" s="5"/>
      <c r="E495" s="5"/>
      <c r="F495" s="5"/>
      <c r="G495" s="5"/>
      <c r="H495" s="5"/>
      <c r="I495" s="5"/>
      <c r="J495" s="5"/>
      <c r="K495" s="5"/>
      <c r="L495" s="5"/>
      <c r="M495" s="1384">
        <v>86</v>
      </c>
      <c r="N495" s="1385"/>
      <c r="O495" s="1385"/>
      <c r="P495" s="1386"/>
      <c r="Q495" s="121" t="s">
        <v>1671</v>
      </c>
      <c r="R495" s="5"/>
      <c r="S495" s="5"/>
      <c r="T495" s="5"/>
      <c r="U495" s="5"/>
      <c r="V495" s="5"/>
      <c r="W495" s="5"/>
      <c r="X495" s="5"/>
      <c r="Y495" s="5"/>
      <c r="Z495" s="5"/>
      <c r="AA495" s="5"/>
      <c r="AB495" s="5"/>
      <c r="AC495" s="5"/>
      <c r="AD495" s="5"/>
      <c r="AE495" s="5"/>
      <c r="AF495" s="5"/>
      <c r="AG495" s="5"/>
      <c r="AH495" s="1384">
        <v>0</v>
      </c>
      <c r="AI495" s="1385"/>
      <c r="AJ495" s="1385"/>
      <c r="AK495" s="1386"/>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9" t="s">
        <v>401</v>
      </c>
      <c r="AD499" s="1390"/>
      <c r="AE499" s="1390"/>
      <c r="AF499" s="1390"/>
      <c r="AG499" s="1390"/>
      <c r="AH499" s="1390"/>
      <c r="AI499" s="1390"/>
      <c r="AJ499" s="1390"/>
      <c r="AK499" s="1391"/>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9" t="s">
        <v>402</v>
      </c>
      <c r="AD500" s="1390"/>
      <c r="AE500" s="1390"/>
      <c r="AF500" s="1390"/>
      <c r="AG500" s="50" t="s">
        <v>403</v>
      </c>
      <c r="AH500" s="1390" t="s">
        <v>404</v>
      </c>
      <c r="AI500" s="1390"/>
      <c r="AJ500" s="1390"/>
      <c r="AK500" s="1391"/>
      <c r="AZ500" s="3"/>
      <c r="BA500" s="3"/>
      <c r="BB500" s="3"/>
      <c r="BC500" s="3"/>
      <c r="BD500" s="3"/>
      <c r="BE500" s="3"/>
      <c r="BF500" s="3"/>
      <c r="BG500" s="3"/>
      <c r="BH500" s="3"/>
      <c r="BI500" s="3"/>
      <c r="BJ500" s="3"/>
      <c r="BK500" s="3"/>
      <c r="BL500" s="3"/>
      <c r="BM500" s="3"/>
      <c r="BN500" s="3"/>
    </row>
    <row r="501" spans="1:66" ht="13" customHeight="1">
      <c r="B501" s="1399" t="s">
        <v>405</v>
      </c>
      <c r="C501" s="1400"/>
      <c r="D501" s="1400"/>
      <c r="E501" s="1400"/>
      <c r="F501" s="1400"/>
      <c r="G501" s="1400"/>
      <c r="H501" s="1401"/>
      <c r="I501" s="42" t="s">
        <v>406</v>
      </c>
      <c r="J501" s="42"/>
      <c r="K501" s="42"/>
      <c r="L501" s="42"/>
      <c r="M501" s="42"/>
      <c r="N501" s="42"/>
      <c r="O501" s="42"/>
      <c r="P501" s="42"/>
      <c r="Q501" s="42"/>
      <c r="R501" s="42"/>
      <c r="S501" s="42"/>
      <c r="T501" s="42"/>
      <c r="U501" s="42"/>
      <c r="V501" s="42"/>
      <c r="W501" s="42"/>
      <c r="AC501" s="1392" t="s">
        <v>592</v>
      </c>
      <c r="AD501" s="1393"/>
      <c r="AE501" s="1393"/>
      <c r="AF501" s="1393"/>
      <c r="AG501" s="13" t="s">
        <v>403</v>
      </c>
      <c r="AH501" s="1430"/>
      <c r="AI501" s="1430"/>
      <c r="AJ501" s="1430"/>
      <c r="AK501" s="1431"/>
      <c r="AZ501" s="3"/>
      <c r="BA501" s="3"/>
      <c r="BB501" s="3"/>
      <c r="BC501" s="3"/>
      <c r="BD501" s="3"/>
      <c r="BE501" s="3"/>
      <c r="BF501" s="3"/>
      <c r="BG501" s="3"/>
      <c r="BH501" s="3"/>
      <c r="BI501" s="3"/>
      <c r="BJ501" s="3"/>
      <c r="BK501" s="3"/>
      <c r="BL501" s="3"/>
      <c r="BM501" s="3"/>
      <c r="BN501" s="3"/>
    </row>
    <row r="502" spans="1:66" ht="13" customHeight="1">
      <c r="B502" s="1402"/>
      <c r="C502" s="1403"/>
      <c r="D502" s="1403"/>
      <c r="E502" s="1403"/>
      <c r="F502" s="1403"/>
      <c r="G502" s="1403"/>
      <c r="H502" s="1404"/>
      <c r="I502" s="48" t="s">
        <v>407</v>
      </c>
      <c r="J502" s="48"/>
      <c r="K502" s="48"/>
      <c r="L502" s="48"/>
      <c r="M502" s="48"/>
      <c r="N502" s="48"/>
      <c r="O502" s="48"/>
      <c r="P502" s="48"/>
      <c r="Q502" s="48"/>
      <c r="R502" s="48"/>
      <c r="S502" s="48"/>
      <c r="T502" s="48"/>
      <c r="U502" s="48"/>
      <c r="V502" s="48"/>
      <c r="W502" s="48"/>
      <c r="X502" s="48"/>
      <c r="Y502" s="48"/>
      <c r="Z502" s="48"/>
      <c r="AA502" s="48"/>
      <c r="AB502" s="48"/>
      <c r="AC502" s="1392">
        <v>1</v>
      </c>
      <c r="AD502" s="1393"/>
      <c r="AE502" s="1393"/>
      <c r="AF502" s="1393"/>
      <c r="AG502" s="38" t="s">
        <v>403</v>
      </c>
      <c r="AH502" s="1430">
        <v>2026</v>
      </c>
      <c r="AI502" s="1430"/>
      <c r="AJ502" s="1430"/>
      <c r="AK502" s="1431"/>
      <c r="AZ502" s="3"/>
      <c r="BA502" s="3"/>
      <c r="BB502" s="3"/>
      <c r="BC502" s="3"/>
      <c r="BD502" s="3"/>
      <c r="BE502" s="3"/>
      <c r="BF502" s="3"/>
      <c r="BG502" s="3"/>
      <c r="BH502" s="3"/>
      <c r="BI502" s="3"/>
      <c r="BJ502" s="3"/>
      <c r="BK502" s="3"/>
      <c r="BL502" s="3"/>
      <c r="BM502" s="3"/>
      <c r="BN502" s="3"/>
    </row>
    <row r="503" spans="1:66" ht="13" customHeight="1">
      <c r="B503" s="1399" t="s">
        <v>408</v>
      </c>
      <c r="C503" s="1400"/>
      <c r="D503" s="1400"/>
      <c r="E503" s="1400"/>
      <c r="F503" s="1400"/>
      <c r="G503" s="1400"/>
      <c r="H503" s="1401"/>
      <c r="I503" s="42" t="s">
        <v>409</v>
      </c>
      <c r="J503" s="42"/>
      <c r="K503" s="42"/>
      <c r="L503" s="42"/>
      <c r="M503" s="42"/>
      <c r="N503" s="42"/>
      <c r="O503" s="42"/>
      <c r="P503" s="42"/>
      <c r="Q503" s="42"/>
      <c r="R503" s="42"/>
      <c r="S503" s="42"/>
      <c r="T503" s="42"/>
      <c r="U503" s="42"/>
      <c r="V503" s="42"/>
      <c r="W503" s="42"/>
      <c r="AC503" s="1392" t="s">
        <v>592</v>
      </c>
      <c r="AD503" s="1393"/>
      <c r="AE503" s="1393"/>
      <c r="AF503" s="1393"/>
      <c r="AG503" s="13" t="s">
        <v>403</v>
      </c>
      <c r="AH503" s="1430"/>
      <c r="AI503" s="1430"/>
      <c r="AJ503" s="1430"/>
      <c r="AK503" s="1431"/>
      <c r="AZ503" s="3"/>
      <c r="BA503" s="3"/>
      <c r="BB503" s="3"/>
      <c r="BC503" s="3"/>
      <c r="BD503" s="3"/>
      <c r="BE503" s="3"/>
      <c r="BF503" s="3"/>
      <c r="BG503" s="3"/>
      <c r="BH503" s="3"/>
      <c r="BI503" s="3"/>
      <c r="BJ503" s="3"/>
      <c r="BK503" s="3"/>
      <c r="BL503" s="3"/>
      <c r="BM503" s="3"/>
      <c r="BN503" s="3"/>
    </row>
    <row r="504" spans="1:66" ht="13" customHeight="1">
      <c r="B504" s="1402"/>
      <c r="C504" s="1403"/>
      <c r="D504" s="1403"/>
      <c r="E504" s="1403"/>
      <c r="F504" s="1403"/>
      <c r="G504" s="1403"/>
      <c r="H504" s="1404"/>
      <c r="I504" t="s">
        <v>410</v>
      </c>
      <c r="AC504" s="1392" t="s">
        <v>592</v>
      </c>
      <c r="AD504" s="1393"/>
      <c r="AE504" s="1393"/>
      <c r="AF504" s="1393"/>
      <c r="AG504" s="13" t="s">
        <v>403</v>
      </c>
      <c r="AH504" s="1430"/>
      <c r="AI504" s="1430"/>
      <c r="AJ504" s="1430"/>
      <c r="AK504" s="1431"/>
      <c r="AZ504" s="3"/>
      <c r="BA504" s="3"/>
      <c r="BB504" s="3"/>
      <c r="BC504" s="3"/>
      <c r="BD504" s="3"/>
      <c r="BE504" s="3"/>
      <c r="BF504" s="3"/>
      <c r="BG504" s="3"/>
      <c r="BH504" s="3"/>
      <c r="BI504" s="3"/>
      <c r="BJ504" s="3"/>
      <c r="BK504" s="3"/>
      <c r="BL504" s="3"/>
      <c r="BM504" s="3"/>
      <c r="BN504" s="3"/>
    </row>
    <row r="505" spans="1:66" ht="13" customHeight="1">
      <c r="B505" s="1402"/>
      <c r="C505" s="1403"/>
      <c r="D505" s="1403"/>
      <c r="E505" s="1403"/>
      <c r="F505" s="1403"/>
      <c r="G505" s="1403"/>
      <c r="H505" s="1404"/>
      <c r="I505" t="s">
        <v>411</v>
      </c>
      <c r="AC505" s="1392">
        <v>7</v>
      </c>
      <c r="AD505" s="1393"/>
      <c r="AE505" s="1393"/>
      <c r="AF505" s="1393"/>
      <c r="AG505" s="13" t="s">
        <v>403</v>
      </c>
      <c r="AH505" s="1430">
        <v>2025</v>
      </c>
      <c r="AI505" s="1430"/>
      <c r="AJ505" s="1430"/>
      <c r="AK505" s="1431"/>
      <c r="AZ505" s="3"/>
      <c r="BA505" s="3"/>
      <c r="BB505" s="3"/>
      <c r="BC505" s="3"/>
      <c r="BD505" s="3"/>
      <c r="BE505" s="3"/>
      <c r="BF505" s="3"/>
      <c r="BG505" s="3"/>
      <c r="BH505" s="3"/>
      <c r="BI505" s="3"/>
      <c r="BJ505" s="3"/>
      <c r="BK505" s="3"/>
      <c r="BL505" s="3"/>
      <c r="BM505" s="3"/>
      <c r="BN505" s="3"/>
    </row>
    <row r="506" spans="1:66" ht="13" customHeight="1">
      <c r="B506" s="1402"/>
      <c r="C506" s="1403"/>
      <c r="D506" s="1403"/>
      <c r="E506" s="1403"/>
      <c r="F506" s="1403"/>
      <c r="G506" s="1403"/>
      <c r="H506" s="1404"/>
      <c r="I506" t="s">
        <v>412</v>
      </c>
      <c r="AC506" s="1392">
        <v>1</v>
      </c>
      <c r="AD506" s="1393"/>
      <c r="AE506" s="1393"/>
      <c r="AF506" s="1393"/>
      <c r="AG506" s="13" t="s">
        <v>403</v>
      </c>
      <c r="AH506" s="1430">
        <v>2026</v>
      </c>
      <c r="AI506" s="1430"/>
      <c r="AJ506" s="1430"/>
      <c r="AK506" s="1431"/>
      <c r="AZ506" s="3"/>
      <c r="BA506" s="3"/>
      <c r="BB506" s="3"/>
      <c r="BC506" s="3"/>
      <c r="BD506" s="3"/>
      <c r="BE506" s="3"/>
      <c r="BF506" s="3"/>
      <c r="BG506" s="3"/>
      <c r="BH506" s="3"/>
      <c r="BI506" s="3"/>
      <c r="BJ506" s="3"/>
      <c r="BK506" s="3"/>
      <c r="BL506" s="3"/>
      <c r="BM506" s="3"/>
      <c r="BN506" s="3"/>
    </row>
    <row r="507" spans="1:66" ht="13" customHeight="1">
      <c r="B507" s="1402"/>
      <c r="C507" s="1403"/>
      <c r="D507" s="1403"/>
      <c r="E507" s="1403"/>
      <c r="F507" s="1403"/>
      <c r="G507" s="1403"/>
      <c r="H507" s="1404"/>
      <c r="I507" s="3" t="s">
        <v>413</v>
      </c>
      <c r="AC507" s="1358">
        <v>1</v>
      </c>
      <c r="AD507" s="1359"/>
      <c r="AE507" s="1359"/>
      <c r="AF507" s="1359"/>
      <c r="AG507" s="13" t="s">
        <v>403</v>
      </c>
      <c r="AH507" s="1430">
        <v>2026</v>
      </c>
      <c r="AI507" s="1430"/>
      <c r="AJ507" s="1430"/>
      <c r="AK507" s="1431"/>
      <c r="AZ507" s="3"/>
      <c r="BA507" s="3"/>
      <c r="BB507" s="3"/>
      <c r="BC507" s="3"/>
      <c r="BD507" s="3"/>
      <c r="BE507" s="3"/>
      <c r="BF507" s="3"/>
      <c r="BG507" s="3"/>
      <c r="BH507" s="3"/>
      <c r="BI507" s="3"/>
      <c r="BJ507" s="3"/>
      <c r="BK507" s="3"/>
      <c r="BL507" s="3"/>
      <c r="BM507" s="3"/>
      <c r="BN507" s="3"/>
    </row>
    <row r="508" spans="1:66" ht="13" customHeight="1">
      <c r="B508" s="1402"/>
      <c r="C508" s="1403"/>
      <c r="D508" s="1403"/>
      <c r="E508" s="1403"/>
      <c r="F508" s="1403"/>
      <c r="G508" s="1403"/>
      <c r="H508" s="1404"/>
      <c r="I508" s="896" t="s">
        <v>170</v>
      </c>
      <c r="J508" s="48"/>
      <c r="K508" s="48"/>
      <c r="L508" s="1436" t="s">
        <v>334</v>
      </c>
      <c r="M508" s="1437"/>
      <c r="N508" s="1437"/>
      <c r="O508" s="1437"/>
      <c r="P508" s="1437"/>
      <c r="Q508" s="1437"/>
      <c r="R508" s="1437"/>
      <c r="S508" s="1437"/>
      <c r="T508" s="1437"/>
      <c r="U508" s="1437"/>
      <c r="V508" s="1437"/>
      <c r="W508" s="1437"/>
      <c r="X508" s="1437"/>
      <c r="Y508" s="1437"/>
      <c r="Z508" s="1437"/>
      <c r="AA508" s="1437"/>
      <c r="AB508" s="1438"/>
      <c r="AC508" s="1392" t="s">
        <v>592</v>
      </c>
      <c r="AD508" s="1393"/>
      <c r="AE508" s="1393"/>
      <c r="AF508" s="1393"/>
      <c r="AG508" s="38" t="s">
        <v>403</v>
      </c>
      <c r="AH508" s="1430"/>
      <c r="AI508" s="1430"/>
      <c r="AJ508" s="1430"/>
      <c r="AK508" s="1431"/>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1676</v>
      </c>
      <c r="AC509" s="1388" t="s">
        <v>670</v>
      </c>
      <c r="AD509" s="1388"/>
      <c r="AE509" s="1388"/>
      <c r="AF509" s="1388"/>
      <c r="AG509" s="13"/>
      <c r="AH509" s="1408"/>
      <c r="AI509" s="1408"/>
      <c r="AJ509" s="1408"/>
      <c r="AK509" s="1409"/>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1673</v>
      </c>
      <c r="AC510" s="1358" t="s">
        <v>592</v>
      </c>
      <c r="AD510" s="1359"/>
      <c r="AE510" s="1359"/>
      <c r="AF510" s="1360"/>
      <c r="AG510" s="13"/>
      <c r="AH510" s="1408"/>
      <c r="AI510" s="1408"/>
      <c r="AJ510" s="1408"/>
      <c r="AK510" s="1409"/>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3">
        <v>0.1</v>
      </c>
      <c r="AD512" s="1454"/>
      <c r="AE512" s="1454"/>
      <c r="AF512" s="1455"/>
      <c r="AG512" s="38"/>
      <c r="AH512" s="1591"/>
      <c r="AI512" s="1591"/>
      <c r="AJ512" s="1591"/>
      <c r="AK512" s="1592"/>
      <c r="AZ512" s="3"/>
      <c r="BA512" s="3"/>
      <c r="BB512" s="3"/>
      <c r="BC512" s="3"/>
      <c r="BD512" s="3"/>
      <c r="BE512" s="3"/>
      <c r="BF512" s="3"/>
      <c r="BG512" s="3"/>
      <c r="BH512" s="3"/>
      <c r="BI512" s="3"/>
      <c r="BJ512" s="3"/>
      <c r="BK512" s="3"/>
      <c r="BL512" s="3"/>
      <c r="BM512" s="3"/>
      <c r="BN512" s="3" t="s">
        <v>1185</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9" t="s">
        <v>402</v>
      </c>
      <c r="AD513" s="1434"/>
      <c r="AE513" s="1434"/>
      <c r="AF513" s="1434"/>
      <c r="AG513" s="38" t="s">
        <v>403</v>
      </c>
      <c r="AH513" s="1434" t="s">
        <v>404</v>
      </c>
      <c r="AI513" s="1434"/>
      <c r="AJ513" s="1434"/>
      <c r="AK513" s="1435"/>
      <c r="AZ513" s="3"/>
      <c r="BA513" s="3"/>
      <c r="BB513" s="3"/>
      <c r="BC513" s="3"/>
      <c r="BD513" s="3"/>
      <c r="BE513" s="3"/>
      <c r="BF513" s="3"/>
      <c r="BG513" s="3"/>
      <c r="BH513" s="3"/>
      <c r="BI513" s="3"/>
      <c r="BJ513" s="3"/>
      <c r="BK513" s="3"/>
      <c r="BL513" s="3"/>
      <c r="BM513" s="3"/>
      <c r="BN513" s="3" t="s">
        <v>2106</v>
      </c>
    </row>
    <row r="514" spans="2:66" ht="13" customHeight="1">
      <c r="B514" s="1399" t="s">
        <v>414</v>
      </c>
      <c r="C514" s="1400"/>
      <c r="D514" s="1400"/>
      <c r="E514" s="1400"/>
      <c r="F514" s="1400"/>
      <c r="G514" s="1400"/>
      <c r="H514" s="1401"/>
      <c r="I514" s="42" t="s">
        <v>415</v>
      </c>
      <c r="J514" s="42"/>
      <c r="K514" s="42"/>
      <c r="L514" s="42"/>
      <c r="M514" s="42"/>
      <c r="N514" s="42"/>
      <c r="O514" s="42"/>
      <c r="P514" s="42"/>
      <c r="Q514" s="42"/>
      <c r="R514" s="42"/>
      <c r="S514" s="42"/>
      <c r="T514" s="42"/>
      <c r="U514" s="42"/>
      <c r="V514" s="42"/>
      <c r="W514" s="42"/>
      <c r="AC514" s="1392">
        <v>5</v>
      </c>
      <c r="AD514" s="1393"/>
      <c r="AE514" s="1393"/>
      <c r="AF514" s="1393"/>
      <c r="AG514" s="13" t="s">
        <v>403</v>
      </c>
      <c r="AH514" s="1430">
        <v>2025</v>
      </c>
      <c r="AI514" s="1430"/>
      <c r="AJ514" s="1430"/>
      <c r="AK514" s="1431"/>
      <c r="AZ514" s="3"/>
      <c r="BA514" s="3"/>
      <c r="BB514" s="3"/>
      <c r="BC514" s="3"/>
      <c r="BD514" s="3"/>
      <c r="BE514" s="3"/>
      <c r="BF514" s="3"/>
      <c r="BG514" s="3"/>
      <c r="BH514" s="3"/>
      <c r="BI514" s="3"/>
      <c r="BJ514" s="3"/>
      <c r="BK514" s="3"/>
      <c r="BL514" s="3"/>
      <c r="BM514" s="3"/>
      <c r="BN514" s="3" t="s">
        <v>2107</v>
      </c>
    </row>
    <row r="515" spans="2:66" ht="13" customHeight="1">
      <c r="B515" s="1402"/>
      <c r="C515" s="1403"/>
      <c r="D515" s="1403"/>
      <c r="E515" s="1403"/>
      <c r="F515" s="1403"/>
      <c r="G515" s="1403"/>
      <c r="H515" s="1404"/>
      <c r="I515" t="s">
        <v>416</v>
      </c>
      <c r="AC515" s="1392">
        <v>5</v>
      </c>
      <c r="AD515" s="1393"/>
      <c r="AE515" s="1393"/>
      <c r="AF515" s="1393"/>
      <c r="AG515" s="13" t="s">
        <v>403</v>
      </c>
      <c r="AH515" s="1430">
        <v>2025</v>
      </c>
      <c r="AI515" s="1430"/>
      <c r="AJ515" s="1430"/>
      <c r="AK515" s="1431"/>
      <c r="AZ515" s="3"/>
      <c r="BA515" s="3"/>
      <c r="BB515" s="3"/>
      <c r="BC515" s="3"/>
      <c r="BD515" s="3"/>
      <c r="BE515" s="3"/>
      <c r="BF515" s="3"/>
      <c r="BG515" s="3"/>
      <c r="BH515" s="3"/>
      <c r="BI515" s="3"/>
      <c r="BJ515" s="3"/>
      <c r="BK515" s="3"/>
      <c r="BL515" s="3"/>
      <c r="BM515" s="3"/>
      <c r="BN515" s="3" t="s">
        <v>2108</v>
      </c>
    </row>
    <row r="516" spans="2:66" ht="13" customHeight="1">
      <c r="B516" s="1402"/>
      <c r="C516" s="1403"/>
      <c r="D516" s="1403"/>
      <c r="E516" s="1403"/>
      <c r="F516" s="1403"/>
      <c r="G516" s="1403"/>
      <c r="H516" s="1404"/>
      <c r="I516" s="48" t="s">
        <v>417</v>
      </c>
      <c r="J516" s="48"/>
      <c r="K516" s="48"/>
      <c r="L516" s="48"/>
      <c r="M516" s="48"/>
      <c r="N516" s="48"/>
      <c r="O516" s="48"/>
      <c r="P516" s="48"/>
      <c r="Q516" s="48"/>
      <c r="R516" s="48"/>
      <c r="S516" s="48"/>
      <c r="T516" s="48"/>
      <c r="U516" s="48"/>
      <c r="V516" s="48"/>
      <c r="W516" s="48"/>
      <c r="X516" s="48"/>
      <c r="Y516" s="48"/>
      <c r="Z516" s="48"/>
      <c r="AA516" s="48"/>
      <c r="AB516" s="48"/>
      <c r="AC516" s="1392">
        <v>1</v>
      </c>
      <c r="AD516" s="1393"/>
      <c r="AE516" s="1393"/>
      <c r="AF516" s="1393"/>
      <c r="AG516" s="38" t="s">
        <v>403</v>
      </c>
      <c r="AH516" s="1430">
        <v>2026</v>
      </c>
      <c r="AI516" s="1430"/>
      <c r="AJ516" s="1430"/>
      <c r="AK516" s="1431"/>
      <c r="AZ516" s="3"/>
      <c r="BA516" s="3"/>
      <c r="BB516" s="3"/>
      <c r="BC516" s="3"/>
      <c r="BD516" s="3"/>
      <c r="BE516" s="3"/>
      <c r="BF516" s="3"/>
      <c r="BG516" s="3"/>
      <c r="BH516" s="3"/>
      <c r="BI516" s="3"/>
      <c r="BJ516" s="3"/>
      <c r="BK516" s="3"/>
      <c r="BL516" s="3"/>
      <c r="BM516" s="3"/>
      <c r="BN516" s="3" t="s">
        <v>2109</v>
      </c>
    </row>
    <row r="517" spans="2:66" ht="13" customHeight="1">
      <c r="B517" s="1399" t="s">
        <v>418</v>
      </c>
      <c r="C517" s="1400"/>
      <c r="D517" s="1400"/>
      <c r="E517" s="1400"/>
      <c r="F517" s="1400"/>
      <c r="G517" s="1400"/>
      <c r="H517" s="1401"/>
      <c r="I517" s="42" t="s">
        <v>415</v>
      </c>
      <c r="J517" s="42"/>
      <c r="K517" s="42"/>
      <c r="L517" s="42"/>
      <c r="M517" s="42"/>
      <c r="N517" s="42"/>
      <c r="O517" s="42"/>
      <c r="P517" s="42"/>
      <c r="Q517" s="42"/>
      <c r="R517" s="42"/>
      <c r="S517" s="42"/>
      <c r="T517" s="42"/>
      <c r="U517" s="42"/>
      <c r="V517" s="42"/>
      <c r="W517" s="42"/>
      <c r="X517" s="42"/>
      <c r="Y517" s="42"/>
      <c r="Z517" s="42"/>
      <c r="AA517" s="42"/>
      <c r="AB517" s="42"/>
      <c r="AC517" s="1358">
        <v>5</v>
      </c>
      <c r="AD517" s="1359"/>
      <c r="AE517" s="1359"/>
      <c r="AF517" s="1359"/>
      <c r="AG517" s="129" t="s">
        <v>403</v>
      </c>
      <c r="AH517" s="1430">
        <v>2025</v>
      </c>
      <c r="AI517" s="1430"/>
      <c r="AJ517" s="1430"/>
      <c r="AK517" s="1431"/>
      <c r="AZ517" s="3"/>
      <c r="BB517" s="3"/>
      <c r="BC517" s="3"/>
      <c r="BD517" s="3"/>
      <c r="BE517" s="3"/>
      <c r="BF517" s="3"/>
      <c r="BG517" s="3"/>
      <c r="BH517" s="3"/>
      <c r="BI517" s="3"/>
      <c r="BJ517" s="3"/>
      <c r="BK517" s="3"/>
      <c r="BL517" s="3"/>
      <c r="BM517" s="3"/>
      <c r="BN517" s="3" t="s">
        <v>2110</v>
      </c>
    </row>
    <row r="518" spans="2:66" ht="13" customHeight="1">
      <c r="B518" s="1402"/>
      <c r="C518" s="1403"/>
      <c r="D518" s="1403"/>
      <c r="E518" s="1403"/>
      <c r="F518" s="1403"/>
      <c r="G518" s="1403"/>
      <c r="H518" s="1404"/>
      <c r="I518" t="s">
        <v>416</v>
      </c>
      <c r="AC518" s="1392">
        <v>5</v>
      </c>
      <c r="AD518" s="1393"/>
      <c r="AE518" s="1393"/>
      <c r="AF518" s="1393"/>
      <c r="AG518" s="13" t="s">
        <v>403</v>
      </c>
      <c r="AH518" s="1430">
        <v>2025</v>
      </c>
      <c r="AI518" s="1430"/>
      <c r="AJ518" s="1430"/>
      <c r="AK518" s="1431"/>
      <c r="BB518" s="3"/>
      <c r="BC518" s="3"/>
      <c r="BD518" s="3"/>
      <c r="BE518" s="3"/>
      <c r="BF518" s="3"/>
      <c r="BG518" s="3"/>
      <c r="BH518" s="3"/>
      <c r="BI518" s="3"/>
      <c r="BJ518" s="3"/>
      <c r="BK518" s="3"/>
      <c r="BL518" s="3"/>
      <c r="BM518" s="3"/>
      <c r="BN518" s="3" t="s">
        <v>2111</v>
      </c>
    </row>
    <row r="519" spans="2:66" ht="13" customHeight="1">
      <c r="B519" s="1405"/>
      <c r="C519" s="1406"/>
      <c r="D519" s="1406"/>
      <c r="E519" s="1406"/>
      <c r="F519" s="1406"/>
      <c r="G519" s="1406"/>
      <c r="H519" s="1407"/>
      <c r="I519" s="48" t="s">
        <v>417</v>
      </c>
      <c r="J519" s="48"/>
      <c r="K519" s="48"/>
      <c r="L519" s="48"/>
      <c r="M519" s="48"/>
      <c r="N519" s="48"/>
      <c r="O519" s="48"/>
      <c r="P519" s="48"/>
      <c r="Q519" s="48"/>
      <c r="R519" s="48"/>
      <c r="S519" s="48"/>
      <c r="T519" s="48"/>
      <c r="U519" s="48"/>
      <c r="V519" s="48"/>
      <c r="W519" s="48"/>
      <c r="X519" s="48"/>
      <c r="Y519" s="48"/>
      <c r="Z519" s="48"/>
      <c r="AA519" s="48"/>
      <c r="AB519" s="48"/>
      <c r="AC519" s="1392">
        <v>1</v>
      </c>
      <c r="AD519" s="1393"/>
      <c r="AE519" s="1393"/>
      <c r="AF519" s="1393"/>
      <c r="AG519" s="38" t="s">
        <v>403</v>
      </c>
      <c r="AH519" s="1430">
        <v>2026</v>
      </c>
      <c r="AI519" s="1430"/>
      <c r="AJ519" s="1430"/>
      <c r="AK519" s="1431"/>
      <c r="BB519" s="3"/>
      <c r="BC519" s="3"/>
      <c r="BD519" s="3"/>
      <c r="BE519" s="3"/>
      <c r="BF519" s="3"/>
      <c r="BG519" s="3"/>
      <c r="BH519" s="3"/>
      <c r="BI519" s="3"/>
      <c r="BJ519" s="3"/>
      <c r="BK519" s="3"/>
      <c r="BL519" s="3"/>
      <c r="BM519" s="3"/>
      <c r="BN519" s="3" t="s">
        <v>2112</v>
      </c>
    </row>
    <row r="520" spans="2:66" ht="13" customHeight="1">
      <c r="B520" s="1399" t="s">
        <v>419</v>
      </c>
      <c r="C520" s="1400"/>
      <c r="D520" s="1400"/>
      <c r="E520" s="1400"/>
      <c r="F520" s="1400"/>
      <c r="G520" s="1400"/>
      <c r="H520" s="1401"/>
      <c r="I520" s="41" t="s">
        <v>420</v>
      </c>
      <c r="J520" s="42"/>
      <c r="K520" s="42"/>
      <c r="L520" s="42"/>
      <c r="M520" s="42"/>
      <c r="N520" s="42"/>
      <c r="O520" s="1436" t="s">
        <v>2706</v>
      </c>
      <c r="P520" s="1437"/>
      <c r="Q520" s="1437"/>
      <c r="R520" s="1437"/>
      <c r="S520" s="1437"/>
      <c r="T520" s="1437"/>
      <c r="U520" s="1437"/>
      <c r="V520" s="1437"/>
      <c r="W520" s="1437"/>
      <c r="X520" s="1437"/>
      <c r="Y520" s="1437"/>
      <c r="Z520" s="1437"/>
      <c r="AA520" s="1437"/>
      <c r="AB520" s="58"/>
      <c r="AC520" s="1358">
        <v>5</v>
      </c>
      <c r="AD520" s="1359"/>
      <c r="AE520" s="1359"/>
      <c r="AF520" s="1359"/>
      <c r="AG520" s="129" t="s">
        <v>403</v>
      </c>
      <c r="AH520" s="1430">
        <v>2025</v>
      </c>
      <c r="AI520" s="1430"/>
      <c r="AJ520" s="1430"/>
      <c r="AK520" s="1431"/>
      <c r="AZ520" s="3"/>
      <c r="BB520" s="3"/>
      <c r="BC520" s="3"/>
      <c r="BD520" s="3"/>
      <c r="BE520" s="3"/>
      <c r="BF520" s="3"/>
      <c r="BG520" s="3"/>
      <c r="BH520" s="3"/>
      <c r="BI520" s="3"/>
      <c r="BJ520" s="3"/>
      <c r="BK520" s="3"/>
      <c r="BL520" s="3"/>
      <c r="BM520" s="3"/>
      <c r="BN520" s="3" t="s">
        <v>2113</v>
      </c>
    </row>
    <row r="521" spans="2:66" ht="13" customHeight="1">
      <c r="B521" s="1402"/>
      <c r="C521" s="1403"/>
      <c r="D521" s="1403"/>
      <c r="E521" s="1403"/>
      <c r="F521" s="1403"/>
      <c r="G521" s="1403"/>
      <c r="H521" s="1404"/>
      <c r="I521" s="114" t="s">
        <v>421</v>
      </c>
      <c r="AB521" s="65"/>
      <c r="AC521" s="1392">
        <v>5</v>
      </c>
      <c r="AD521" s="1393"/>
      <c r="AE521" s="1393"/>
      <c r="AF521" s="1393"/>
      <c r="AG521" s="13" t="s">
        <v>403</v>
      </c>
      <c r="AH521" s="1430">
        <v>2025</v>
      </c>
      <c r="AI521" s="1430"/>
      <c r="AJ521" s="1430"/>
      <c r="AK521" s="1431"/>
      <c r="AZ521" s="3"/>
      <c r="BB521" s="3"/>
      <c r="BC521" s="3"/>
      <c r="BD521" s="3"/>
      <c r="BE521" s="3"/>
      <c r="BF521" s="3"/>
      <c r="BG521" s="3"/>
      <c r="BH521" s="3"/>
      <c r="BI521" s="3"/>
      <c r="BJ521" s="3"/>
      <c r="BK521" s="3"/>
      <c r="BL521" s="3"/>
      <c r="BM521" s="3"/>
      <c r="BN521" s="3" t="s">
        <v>2114</v>
      </c>
    </row>
    <row r="522" spans="2:66" ht="13" customHeight="1">
      <c r="B522" s="1402"/>
      <c r="C522" s="1403"/>
      <c r="D522" s="1403"/>
      <c r="E522" s="1403"/>
      <c r="F522" s="1403"/>
      <c r="G522" s="1403"/>
      <c r="H522" s="1404"/>
      <c r="I522" s="47" t="s">
        <v>422</v>
      </c>
      <c r="J522" s="48"/>
      <c r="K522" s="48"/>
      <c r="L522" s="48"/>
      <c r="M522" s="48"/>
      <c r="N522" s="48"/>
      <c r="O522" s="48"/>
      <c r="P522" s="48"/>
      <c r="Q522" s="48"/>
      <c r="R522" s="48"/>
      <c r="S522" s="48"/>
      <c r="T522" s="48"/>
      <c r="U522" s="48"/>
      <c r="V522" s="48"/>
      <c r="W522" s="48"/>
      <c r="X522" s="48"/>
      <c r="Y522" s="48"/>
      <c r="Z522" s="48"/>
      <c r="AA522" s="48"/>
      <c r="AB522" s="49"/>
      <c r="AC522" s="1392">
        <v>1</v>
      </c>
      <c r="AD522" s="1393"/>
      <c r="AE522" s="1393"/>
      <c r="AF522" s="1393"/>
      <c r="AG522" s="38" t="s">
        <v>403</v>
      </c>
      <c r="AH522" s="1430">
        <v>2026</v>
      </c>
      <c r="AI522" s="1430"/>
      <c r="AJ522" s="1430"/>
      <c r="AK522" s="1431"/>
      <c r="AZ522" s="3"/>
      <c r="BA522" s="3"/>
      <c r="BB522" s="3"/>
      <c r="BC522" s="3"/>
      <c r="BD522" s="3"/>
      <c r="BE522" s="3"/>
      <c r="BF522" s="3"/>
      <c r="BG522" s="3"/>
      <c r="BH522" s="3"/>
      <c r="BI522" s="3"/>
      <c r="BJ522" s="3"/>
      <c r="BK522" s="3"/>
      <c r="BL522" s="3"/>
      <c r="BM522" s="3"/>
      <c r="BN522" s="3" t="s">
        <v>2115</v>
      </c>
    </row>
    <row r="523" spans="2:66" ht="13" customHeight="1">
      <c r="B523" s="1402"/>
      <c r="C523" s="1403"/>
      <c r="D523" s="1403"/>
      <c r="E523" s="1403"/>
      <c r="F523" s="1403"/>
      <c r="G523" s="1403"/>
      <c r="H523" s="1404"/>
      <c r="I523" s="42" t="s">
        <v>423</v>
      </c>
      <c r="J523" s="42"/>
      <c r="K523" s="42"/>
      <c r="L523" s="42"/>
      <c r="M523" s="42"/>
      <c r="N523" s="42"/>
      <c r="O523" s="1436" t="s">
        <v>2735</v>
      </c>
      <c r="P523" s="1437"/>
      <c r="Q523" s="1437"/>
      <c r="R523" s="1437"/>
      <c r="S523" s="1437"/>
      <c r="T523" s="1437"/>
      <c r="U523" s="1437"/>
      <c r="V523" s="1437"/>
      <c r="W523" s="1437"/>
      <c r="X523" s="1437"/>
      <c r="Y523" s="1437"/>
      <c r="Z523" s="1437"/>
      <c r="AA523" s="1437"/>
      <c r="AC523" s="1392">
        <v>5</v>
      </c>
      <c r="AD523" s="1393"/>
      <c r="AE523" s="1393"/>
      <c r="AF523" s="1393"/>
      <c r="AG523" s="13" t="s">
        <v>403</v>
      </c>
      <c r="AH523" s="1430">
        <v>2025</v>
      </c>
      <c r="AI523" s="1430"/>
      <c r="AJ523" s="1430"/>
      <c r="AK523" s="1431"/>
      <c r="AZ523" s="3"/>
      <c r="BA523" s="3"/>
      <c r="BB523" s="3"/>
      <c r="BC523" s="3"/>
      <c r="BD523" s="3"/>
      <c r="BE523" s="3"/>
      <c r="BF523" s="3"/>
      <c r="BG523" s="3"/>
      <c r="BH523" s="3"/>
      <c r="BI523" s="3"/>
      <c r="BJ523" s="3"/>
      <c r="BK523" s="3"/>
      <c r="BL523" s="3"/>
      <c r="BM523" s="3"/>
      <c r="BN523" s="3" t="s">
        <v>2116</v>
      </c>
    </row>
    <row r="524" spans="2:66" ht="13" customHeight="1">
      <c r="B524" s="1402"/>
      <c r="C524" s="1403"/>
      <c r="D524" s="1403"/>
      <c r="E524" s="1403"/>
      <c r="F524" s="1403"/>
      <c r="G524" s="1403"/>
      <c r="H524" s="1404"/>
      <c r="I524" t="s">
        <v>421</v>
      </c>
      <c r="AC524" s="1392">
        <v>5</v>
      </c>
      <c r="AD524" s="1393"/>
      <c r="AE524" s="1393"/>
      <c r="AF524" s="1393"/>
      <c r="AG524" s="13" t="s">
        <v>403</v>
      </c>
      <c r="AH524" s="1430">
        <v>2025</v>
      </c>
      <c r="AI524" s="1430"/>
      <c r="AJ524" s="1430"/>
      <c r="AK524" s="1431"/>
      <c r="AZ524" s="3"/>
      <c r="BA524" s="3"/>
      <c r="BB524" s="3"/>
      <c r="BC524" s="3"/>
      <c r="BD524" s="3"/>
      <c r="BE524" s="3"/>
      <c r="BF524" s="3"/>
      <c r="BG524" s="3"/>
      <c r="BH524" s="3"/>
      <c r="BI524" s="3"/>
      <c r="BJ524" s="3"/>
      <c r="BK524" s="3"/>
      <c r="BL524" s="3"/>
      <c r="BM524" s="3"/>
      <c r="BN524" s="3" t="s">
        <v>2117</v>
      </c>
    </row>
    <row r="525" spans="2:66" ht="13" customHeight="1">
      <c r="B525" s="1402"/>
      <c r="C525" s="1403"/>
      <c r="D525" s="1403"/>
      <c r="E525" s="1403"/>
      <c r="F525" s="1403"/>
      <c r="G525" s="1403"/>
      <c r="H525" s="1404"/>
      <c r="I525" s="48" t="s">
        <v>422</v>
      </c>
      <c r="J525" s="48"/>
      <c r="K525" s="48"/>
      <c r="L525" s="48"/>
      <c r="M525" s="48"/>
      <c r="N525" s="48"/>
      <c r="O525" s="48"/>
      <c r="P525" s="48"/>
      <c r="Q525" s="48"/>
      <c r="R525" s="48"/>
      <c r="S525" s="48"/>
      <c r="T525" s="48"/>
      <c r="U525" s="48"/>
      <c r="V525" s="48"/>
      <c r="W525" s="48"/>
      <c r="X525" s="48"/>
      <c r="Y525" s="48"/>
      <c r="Z525" s="48"/>
      <c r="AA525" s="48"/>
      <c r="AB525" s="48"/>
      <c r="AC525" s="1392">
        <v>1</v>
      </c>
      <c r="AD525" s="1393"/>
      <c r="AE525" s="1393"/>
      <c r="AF525" s="1393"/>
      <c r="AG525" s="38" t="s">
        <v>403</v>
      </c>
      <c r="AH525" s="1430">
        <v>2026</v>
      </c>
      <c r="AI525" s="1430"/>
      <c r="AJ525" s="1430"/>
      <c r="AK525" s="1431"/>
      <c r="AZ525" s="3"/>
      <c r="BA525" s="3"/>
      <c r="BB525" s="3"/>
      <c r="BC525" s="3"/>
      <c r="BD525" s="3"/>
      <c r="BE525" s="3"/>
      <c r="BF525" s="3"/>
      <c r="BG525" s="3"/>
      <c r="BH525" s="3"/>
      <c r="BI525" s="3"/>
      <c r="BJ525" s="3"/>
      <c r="BK525" s="3"/>
      <c r="BL525" s="3"/>
      <c r="BM525" s="3"/>
      <c r="BN525" s="3" t="s">
        <v>2118</v>
      </c>
    </row>
    <row r="526" spans="2:66" ht="13" customHeight="1">
      <c r="B526" s="1402"/>
      <c r="C526" s="1403"/>
      <c r="D526" s="1403"/>
      <c r="E526" s="1403"/>
      <c r="F526" s="1403"/>
      <c r="G526" s="1403"/>
      <c r="H526" s="1404"/>
      <c r="I526" s="42" t="s">
        <v>423</v>
      </c>
      <c r="J526" s="42"/>
      <c r="K526" s="42"/>
      <c r="L526" s="42"/>
      <c r="M526" s="42"/>
      <c r="N526" s="42"/>
      <c r="O526" s="1436" t="s">
        <v>334</v>
      </c>
      <c r="P526" s="1437"/>
      <c r="Q526" s="1437"/>
      <c r="R526" s="1437"/>
      <c r="S526" s="1437"/>
      <c r="T526" s="1437"/>
      <c r="U526" s="1437"/>
      <c r="V526" s="1437"/>
      <c r="W526" s="1437"/>
      <c r="X526" s="1437"/>
      <c r="Y526" s="1437"/>
      <c r="Z526" s="1437"/>
      <c r="AA526" s="1437"/>
      <c r="AC526" s="1392" t="s">
        <v>592</v>
      </c>
      <c r="AD526" s="1393"/>
      <c r="AE526" s="1393"/>
      <c r="AF526" s="1393"/>
      <c r="AG526" s="13" t="s">
        <v>403</v>
      </c>
      <c r="AH526" s="1430"/>
      <c r="AI526" s="1430"/>
      <c r="AJ526" s="1430"/>
      <c r="AK526" s="1431"/>
      <c r="AZ526" s="3"/>
      <c r="BA526" s="3"/>
      <c r="BB526" s="3"/>
      <c r="BC526" s="3"/>
      <c r="BD526" s="3"/>
      <c r="BE526" s="3"/>
      <c r="BF526" s="3"/>
      <c r="BG526" s="3"/>
      <c r="BH526" s="3"/>
      <c r="BI526" s="3"/>
      <c r="BJ526" s="3"/>
      <c r="BK526" s="3"/>
      <c r="BL526" s="3"/>
      <c r="BM526" s="3"/>
      <c r="BN526" s="3" t="s">
        <v>2119</v>
      </c>
    </row>
    <row r="527" spans="2:66" ht="13" customHeight="1">
      <c r="B527" s="1402"/>
      <c r="C527" s="1403"/>
      <c r="D527" s="1403"/>
      <c r="E527" s="1403"/>
      <c r="F527" s="1403"/>
      <c r="G527" s="1403"/>
      <c r="H527" s="1404"/>
      <c r="I527" t="s">
        <v>421</v>
      </c>
      <c r="AC527" s="1392" t="s">
        <v>592</v>
      </c>
      <c r="AD527" s="1393"/>
      <c r="AE527" s="1393"/>
      <c r="AF527" s="1393"/>
      <c r="AG527" s="13" t="s">
        <v>403</v>
      </c>
      <c r="AH527" s="1430"/>
      <c r="AI527" s="1430"/>
      <c r="AJ527" s="1430"/>
      <c r="AK527" s="1431"/>
      <c r="AZ527" s="3"/>
      <c r="BA527" s="3"/>
      <c r="BB527" s="3"/>
      <c r="BC527" s="3"/>
      <c r="BD527" s="3"/>
      <c r="BE527" s="3"/>
      <c r="BF527" s="3"/>
      <c r="BG527" s="3"/>
      <c r="BH527" s="3"/>
      <c r="BI527" s="3"/>
      <c r="BJ527" s="3"/>
      <c r="BK527" s="3"/>
      <c r="BL527" s="3"/>
      <c r="BM527" s="3"/>
      <c r="BN527" s="3" t="s">
        <v>2120</v>
      </c>
    </row>
    <row r="528" spans="2:66" ht="13" customHeight="1">
      <c r="B528" s="1402"/>
      <c r="C528" s="1403"/>
      <c r="D528" s="1403"/>
      <c r="E528" s="1403"/>
      <c r="F528" s="1403"/>
      <c r="G528" s="1403"/>
      <c r="H528" s="1404"/>
      <c r="I528" s="48" t="s">
        <v>422</v>
      </c>
      <c r="J528" s="48"/>
      <c r="K528" s="48"/>
      <c r="L528" s="48"/>
      <c r="M528" s="48"/>
      <c r="N528" s="48"/>
      <c r="O528" s="48"/>
      <c r="P528" s="48"/>
      <c r="Q528" s="48"/>
      <c r="R528" s="48"/>
      <c r="S528" s="48"/>
      <c r="T528" s="48"/>
      <c r="U528" s="48"/>
      <c r="V528" s="48"/>
      <c r="W528" s="48"/>
      <c r="X528" s="48"/>
      <c r="Y528" s="48"/>
      <c r="Z528" s="48"/>
      <c r="AA528" s="48"/>
      <c r="AB528" s="48"/>
      <c r="AC528" s="1392" t="s">
        <v>592</v>
      </c>
      <c r="AD528" s="1393"/>
      <c r="AE528" s="1393"/>
      <c r="AF528" s="1393"/>
      <c r="AG528" s="38" t="s">
        <v>403</v>
      </c>
      <c r="AH528" s="1430"/>
      <c r="AI528" s="1430"/>
      <c r="AJ528" s="1430"/>
      <c r="AK528" s="1431"/>
      <c r="AZ528" s="3"/>
      <c r="BA528" s="3"/>
      <c r="BB528" s="3"/>
      <c r="BC528" s="3"/>
      <c r="BD528" s="3"/>
      <c r="BE528" s="3"/>
      <c r="BF528" s="3"/>
      <c r="BG528" s="3"/>
      <c r="BH528" s="3"/>
      <c r="BI528" s="3"/>
      <c r="BJ528" s="3"/>
      <c r="BK528" s="3"/>
      <c r="BL528" s="3"/>
      <c r="BM528" s="3"/>
      <c r="BN528" s="3" t="s">
        <v>2121</v>
      </c>
    </row>
    <row r="529" spans="1:66" ht="13" customHeight="1">
      <c r="B529" s="1402"/>
      <c r="C529" s="1403"/>
      <c r="D529" s="1403"/>
      <c r="E529" s="1403"/>
      <c r="F529" s="1403"/>
      <c r="G529" s="1403"/>
      <c r="H529" s="1404"/>
      <c r="I529" s="42" t="s">
        <v>423</v>
      </c>
      <c r="J529" s="42"/>
      <c r="K529" s="42"/>
      <c r="L529" s="42"/>
      <c r="M529" s="42"/>
      <c r="N529" s="42"/>
      <c r="O529" s="1436" t="s">
        <v>334</v>
      </c>
      <c r="P529" s="1437"/>
      <c r="Q529" s="1437"/>
      <c r="R529" s="1437"/>
      <c r="S529" s="1437"/>
      <c r="T529" s="1437"/>
      <c r="U529" s="1437"/>
      <c r="V529" s="1437"/>
      <c r="W529" s="1437"/>
      <c r="X529" s="1437"/>
      <c r="Y529" s="1437"/>
      <c r="Z529" s="1437"/>
      <c r="AA529" s="1437"/>
      <c r="AC529" s="1392" t="s">
        <v>592</v>
      </c>
      <c r="AD529" s="1393"/>
      <c r="AE529" s="1393"/>
      <c r="AF529" s="1393"/>
      <c r="AG529" s="13" t="s">
        <v>403</v>
      </c>
      <c r="AH529" s="1430"/>
      <c r="AI529" s="1430"/>
      <c r="AJ529" s="1430"/>
      <c r="AK529" s="1431"/>
      <c r="AZ529" s="3"/>
      <c r="BA529" s="3"/>
      <c r="BB529" s="3"/>
      <c r="BC529" s="3"/>
      <c r="BD529" s="3"/>
      <c r="BE529" s="3"/>
      <c r="BF529" s="3"/>
      <c r="BG529" s="3"/>
      <c r="BH529" s="3"/>
      <c r="BI529" s="3"/>
      <c r="BJ529" s="3"/>
      <c r="BK529" s="3"/>
      <c r="BL529" s="3"/>
      <c r="BM529" s="3"/>
      <c r="BN529" s="3" t="s">
        <v>2122</v>
      </c>
    </row>
    <row r="530" spans="1:66" ht="13" customHeight="1">
      <c r="B530" s="1402"/>
      <c r="C530" s="1403"/>
      <c r="D530" s="1403"/>
      <c r="E530" s="1403"/>
      <c r="F530" s="1403"/>
      <c r="G530" s="1403"/>
      <c r="H530" s="1404"/>
      <c r="I530" t="s">
        <v>421</v>
      </c>
      <c r="AC530" s="1392" t="s">
        <v>592</v>
      </c>
      <c r="AD530" s="1393"/>
      <c r="AE530" s="1393"/>
      <c r="AF530" s="1393"/>
      <c r="AG530" s="13" t="s">
        <v>403</v>
      </c>
      <c r="AH530" s="1430"/>
      <c r="AI530" s="1430"/>
      <c r="AJ530" s="1430"/>
      <c r="AK530" s="1431"/>
      <c r="AZ530" s="3"/>
      <c r="BA530" s="3"/>
      <c r="BB530" s="3"/>
      <c r="BC530" s="3"/>
      <c r="BD530" s="3"/>
      <c r="BE530" s="3"/>
      <c r="BF530" s="3"/>
      <c r="BG530" s="3"/>
      <c r="BH530" s="3"/>
      <c r="BI530" s="3"/>
      <c r="BJ530" s="3"/>
      <c r="BK530" s="3"/>
      <c r="BL530" s="3"/>
      <c r="BM530" s="3"/>
      <c r="BN530" s="3" t="s">
        <v>2123</v>
      </c>
    </row>
    <row r="531" spans="1:66" ht="13" customHeight="1">
      <c r="B531" s="1402"/>
      <c r="C531" s="1403"/>
      <c r="D531" s="1403"/>
      <c r="E531" s="1403"/>
      <c r="F531" s="1403"/>
      <c r="G531" s="1403"/>
      <c r="H531" s="1404"/>
      <c r="I531" s="48" t="s">
        <v>422</v>
      </c>
      <c r="J531" s="48"/>
      <c r="K531" s="48"/>
      <c r="L531" s="48"/>
      <c r="M531" s="48"/>
      <c r="N531" s="48"/>
      <c r="O531" s="48"/>
      <c r="P531" s="48"/>
      <c r="Q531" s="48"/>
      <c r="R531" s="48"/>
      <c r="S531" s="48"/>
      <c r="T531" s="48"/>
      <c r="U531" s="48"/>
      <c r="V531" s="48"/>
      <c r="W531" s="48"/>
      <c r="X531" s="48"/>
      <c r="Y531" s="48"/>
      <c r="Z531" s="48"/>
      <c r="AA531" s="48"/>
      <c r="AB531" s="48"/>
      <c r="AC531" s="1392" t="s">
        <v>592</v>
      </c>
      <c r="AD531" s="1393"/>
      <c r="AE531" s="1393"/>
      <c r="AF531" s="1393"/>
      <c r="AG531" s="38" t="s">
        <v>403</v>
      </c>
      <c r="AH531" s="1430"/>
      <c r="AI531" s="1430"/>
      <c r="AJ531" s="1430"/>
      <c r="AK531" s="1431"/>
      <c r="AZ531" s="3"/>
      <c r="BA531" s="3"/>
      <c r="BB531" s="3"/>
      <c r="BC531" s="3"/>
      <c r="BD531" s="3"/>
      <c r="BE531" s="3"/>
      <c r="BF531" s="3"/>
      <c r="BG531" s="3"/>
      <c r="BH531" s="3"/>
      <c r="BI531" s="3"/>
      <c r="BJ531" s="3"/>
      <c r="BK531" s="3"/>
      <c r="BL531" s="3"/>
      <c r="BM531" s="3"/>
      <c r="BN531" s="3" t="s">
        <v>2124</v>
      </c>
    </row>
    <row r="532" spans="1:66" ht="13" customHeight="1">
      <c r="B532" s="1402"/>
      <c r="C532" s="1403"/>
      <c r="D532" s="1403"/>
      <c r="E532" s="1403"/>
      <c r="F532" s="1403"/>
      <c r="G532" s="1403"/>
      <c r="H532" s="1404"/>
      <c r="I532" s="42" t="s">
        <v>423</v>
      </c>
      <c r="J532" s="42"/>
      <c r="K532" s="42"/>
      <c r="L532" s="42"/>
      <c r="M532" s="42"/>
      <c r="N532" s="42"/>
      <c r="O532" s="1436" t="s">
        <v>334</v>
      </c>
      <c r="P532" s="1437"/>
      <c r="Q532" s="1437"/>
      <c r="R532" s="1437"/>
      <c r="S532" s="1437"/>
      <c r="T532" s="1437"/>
      <c r="U532" s="1437"/>
      <c r="V532" s="1437"/>
      <c r="W532" s="1437"/>
      <c r="X532" s="1437"/>
      <c r="Y532" s="1437"/>
      <c r="Z532" s="1437"/>
      <c r="AA532" s="1437"/>
      <c r="AC532" s="1392" t="s">
        <v>592</v>
      </c>
      <c r="AD532" s="1393"/>
      <c r="AE532" s="1393"/>
      <c r="AF532" s="1393"/>
      <c r="AG532" s="13" t="s">
        <v>403</v>
      </c>
      <c r="AH532" s="1430"/>
      <c r="AI532" s="1430"/>
      <c r="AJ532" s="1430"/>
      <c r="AK532" s="1431"/>
      <c r="AZ532" s="3"/>
      <c r="BA532" s="3"/>
      <c r="BB532" s="3"/>
      <c r="BC532" s="3"/>
      <c r="BD532" s="3"/>
      <c r="BE532" s="3"/>
      <c r="BF532" s="3"/>
      <c r="BG532" s="3"/>
      <c r="BH532" s="3"/>
      <c r="BI532" s="3"/>
      <c r="BJ532" s="3"/>
      <c r="BK532" s="3"/>
      <c r="BL532" s="3"/>
      <c r="BM532" s="3"/>
      <c r="BN532" s="3" t="s">
        <v>2125</v>
      </c>
    </row>
    <row r="533" spans="1:66" ht="13" customHeight="1">
      <c r="B533" s="1402"/>
      <c r="C533" s="1403"/>
      <c r="D533" s="1403"/>
      <c r="E533" s="1403"/>
      <c r="F533" s="1403"/>
      <c r="G533" s="1403"/>
      <c r="H533" s="1404"/>
      <c r="I533" t="s">
        <v>421</v>
      </c>
      <c r="AC533" s="1392" t="s">
        <v>592</v>
      </c>
      <c r="AD533" s="1393"/>
      <c r="AE533" s="1393"/>
      <c r="AF533" s="1393"/>
      <c r="AG533" s="38" t="s">
        <v>403</v>
      </c>
      <c r="AH533" s="1430"/>
      <c r="AI533" s="1430"/>
      <c r="AJ533" s="1430"/>
      <c r="AK533" s="1431"/>
      <c r="AZ533" s="3"/>
      <c r="BA533" s="3"/>
      <c r="BB533" s="3"/>
      <c r="BC533" s="3"/>
      <c r="BD533" s="3"/>
      <c r="BE533" s="3"/>
      <c r="BF533" s="3"/>
      <c r="BG533" s="3"/>
      <c r="BH533" s="3"/>
      <c r="BI533" s="3"/>
      <c r="BJ533" s="3"/>
      <c r="BK533" s="3"/>
      <c r="BL533" s="3"/>
      <c r="BM533" s="3"/>
      <c r="BN533" s="3" t="s">
        <v>2126</v>
      </c>
    </row>
    <row r="534" spans="1:66" ht="13" customHeight="1">
      <c r="B534" s="1402"/>
      <c r="C534" s="1403"/>
      <c r="D534" s="1403"/>
      <c r="E534" s="1403"/>
      <c r="F534" s="1403"/>
      <c r="G534" s="1403"/>
      <c r="H534" s="1404"/>
      <c r="I534" s="48" t="s">
        <v>422</v>
      </c>
      <c r="J534" s="48"/>
      <c r="K534" s="48"/>
      <c r="L534" s="48"/>
      <c r="M534" s="48"/>
      <c r="N534" s="48"/>
      <c r="O534" s="48"/>
      <c r="P534" s="48"/>
      <c r="Q534" s="48"/>
      <c r="R534" s="48"/>
      <c r="S534" s="48"/>
      <c r="T534" s="48"/>
      <c r="U534" s="48"/>
      <c r="V534" s="48"/>
      <c r="W534" s="48"/>
      <c r="X534" s="48"/>
      <c r="Y534" s="48"/>
      <c r="Z534" s="48"/>
      <c r="AA534" s="48"/>
      <c r="AB534" s="48"/>
      <c r="AC534" s="1392" t="s">
        <v>592</v>
      </c>
      <c r="AD534" s="1393"/>
      <c r="AE534" s="1393"/>
      <c r="AF534" s="1393"/>
      <c r="AG534" s="13" t="s">
        <v>403</v>
      </c>
      <c r="AH534" s="1430"/>
      <c r="AI534" s="1430"/>
      <c r="AJ534" s="1430"/>
      <c r="AK534" s="1431"/>
      <c r="AZ534" s="3"/>
      <c r="BA534" s="3"/>
      <c r="BB534" s="3"/>
      <c r="BC534" s="3"/>
      <c r="BD534" s="3"/>
      <c r="BE534" s="3"/>
      <c r="BF534" s="3"/>
      <c r="BG534" s="3"/>
      <c r="BH534" s="3"/>
      <c r="BI534" s="3"/>
      <c r="BJ534" s="3"/>
      <c r="BK534" s="3"/>
      <c r="BL534" s="3"/>
      <c r="BM534" s="3"/>
      <c r="BN534" s="3" t="s">
        <v>2127</v>
      </c>
    </row>
    <row r="535" spans="1:66" ht="13" customHeight="1">
      <c r="B535" s="1402"/>
      <c r="C535" s="1403"/>
      <c r="D535" s="1403"/>
      <c r="E535" s="1403"/>
      <c r="F535" s="1403"/>
      <c r="G535" s="1403"/>
      <c r="H535" s="1404"/>
      <c r="I535" s="42" t="s">
        <v>423</v>
      </c>
      <c r="J535" s="42"/>
      <c r="K535" s="42"/>
      <c r="L535" s="42"/>
      <c r="M535" s="42"/>
      <c r="N535" s="42"/>
      <c r="O535" s="1436" t="s">
        <v>334</v>
      </c>
      <c r="P535" s="1437"/>
      <c r="Q535" s="1437"/>
      <c r="R535" s="1437"/>
      <c r="S535" s="1437"/>
      <c r="T535" s="1437"/>
      <c r="U535" s="1437"/>
      <c r="V535" s="1437"/>
      <c r="W535" s="1437"/>
      <c r="X535" s="1437"/>
      <c r="Y535" s="1437"/>
      <c r="Z535" s="1437"/>
      <c r="AA535" s="1437"/>
      <c r="AC535" s="1392" t="s">
        <v>592</v>
      </c>
      <c r="AD535" s="1393"/>
      <c r="AE535" s="1393"/>
      <c r="AF535" s="1393"/>
      <c r="AG535" s="38" t="s">
        <v>403</v>
      </c>
      <c r="AH535" s="1430"/>
      <c r="AI535" s="1430"/>
      <c r="AJ535" s="1430"/>
      <c r="AK535" s="1431"/>
      <c r="AZ535" s="3"/>
      <c r="BA535" s="3"/>
      <c r="BB535" s="3"/>
      <c r="BC535" s="3"/>
      <c r="BD535" s="3"/>
      <c r="BE535" s="3"/>
      <c r="BF535" s="3"/>
      <c r="BG535" s="3"/>
      <c r="BH535" s="3"/>
      <c r="BI535" s="3"/>
      <c r="BJ535" s="3"/>
      <c r="BK535" s="3"/>
      <c r="BL535" s="3"/>
      <c r="BM535" s="3"/>
      <c r="BN535" s="3" t="s">
        <v>2128</v>
      </c>
    </row>
    <row r="536" spans="1:66" ht="13" customHeight="1">
      <c r="B536" s="1402"/>
      <c r="C536" s="1403"/>
      <c r="D536" s="1403"/>
      <c r="E536" s="1403"/>
      <c r="F536" s="1403"/>
      <c r="G536" s="1403"/>
      <c r="H536" s="1404"/>
      <c r="I536" t="s">
        <v>421</v>
      </c>
      <c r="AC536" s="1392" t="s">
        <v>592</v>
      </c>
      <c r="AD536" s="1393"/>
      <c r="AE536" s="1393"/>
      <c r="AF536" s="1393"/>
      <c r="AG536" s="13" t="s">
        <v>403</v>
      </c>
      <c r="AH536" s="1430"/>
      <c r="AI536" s="1430"/>
      <c r="AJ536" s="1430"/>
      <c r="AK536" s="1431"/>
      <c r="AZ536" s="3"/>
      <c r="BA536" s="3"/>
      <c r="BB536" s="3"/>
      <c r="BC536" s="3"/>
      <c r="BD536" s="3"/>
      <c r="BE536" s="3"/>
      <c r="BF536" s="3"/>
      <c r="BG536" s="3"/>
      <c r="BH536" s="3"/>
      <c r="BI536" s="3"/>
      <c r="BJ536" s="3"/>
      <c r="BK536" s="3"/>
      <c r="BL536" s="3"/>
      <c r="BM536" s="3"/>
      <c r="BN536" s="3" t="s">
        <v>2129</v>
      </c>
    </row>
    <row r="537" spans="1:66" ht="13" customHeight="1">
      <c r="B537" s="1402"/>
      <c r="C537" s="1403"/>
      <c r="D537" s="1403"/>
      <c r="E537" s="1403"/>
      <c r="F537" s="1403"/>
      <c r="G537" s="1403"/>
      <c r="H537" s="1404"/>
      <c r="I537" s="48" t="s">
        <v>422</v>
      </c>
      <c r="J537" s="48"/>
      <c r="K537" s="48"/>
      <c r="L537" s="48"/>
      <c r="M537" s="48"/>
      <c r="N537" s="48"/>
      <c r="O537" s="48"/>
      <c r="P537" s="48"/>
      <c r="Q537" s="48"/>
      <c r="R537" s="48"/>
      <c r="S537" s="48"/>
      <c r="T537" s="48"/>
      <c r="U537" s="48"/>
      <c r="V537" s="48"/>
      <c r="W537" s="48"/>
      <c r="X537" s="48"/>
      <c r="Y537" s="48"/>
      <c r="Z537" s="48"/>
      <c r="AA537" s="48"/>
      <c r="AB537" s="48"/>
      <c r="AC537" s="1392" t="s">
        <v>592</v>
      </c>
      <c r="AD537" s="1393"/>
      <c r="AE537" s="1393"/>
      <c r="AF537" s="1393"/>
      <c r="AG537" s="38" t="s">
        <v>403</v>
      </c>
      <c r="AH537" s="1430"/>
      <c r="AI537" s="1430"/>
      <c r="AJ537" s="1430"/>
      <c r="AK537" s="1431"/>
      <c r="AZ537" s="3"/>
      <c r="BA537" s="3"/>
      <c r="BB537" s="3"/>
      <c r="BC537" s="3"/>
      <c r="BD537" s="3"/>
      <c r="BE537" s="3"/>
      <c r="BF537" s="3"/>
      <c r="BG537" s="3"/>
      <c r="BH537" s="3"/>
      <c r="BI537" s="3"/>
      <c r="BJ537" s="3"/>
      <c r="BK537" s="3"/>
      <c r="BL537" s="3"/>
      <c r="BM537" s="3"/>
      <c r="BN537" s="3" t="s">
        <v>2130</v>
      </c>
    </row>
    <row r="538" spans="1:66" ht="13" customHeight="1">
      <c r="B538" s="1402"/>
      <c r="C538" s="1403"/>
      <c r="D538" s="1403"/>
      <c r="E538" s="1403"/>
      <c r="F538" s="1403"/>
      <c r="G538" s="1403"/>
      <c r="H538" s="1404"/>
      <c r="I538" s="42" t="s">
        <v>563</v>
      </c>
      <c r="J538" s="42"/>
      <c r="K538" s="42"/>
      <c r="L538" s="42"/>
      <c r="M538" s="42"/>
      <c r="N538" s="42"/>
      <c r="O538" s="42"/>
      <c r="P538" s="42"/>
      <c r="Q538" s="42"/>
      <c r="R538" s="42"/>
      <c r="S538" s="42"/>
      <c r="T538" s="42"/>
      <c r="U538" s="42"/>
      <c r="V538" s="42"/>
      <c r="W538" s="42"/>
      <c r="AC538" s="1392">
        <v>1</v>
      </c>
      <c r="AD538" s="1393"/>
      <c r="AE538" s="1393"/>
      <c r="AF538" s="1393"/>
      <c r="AG538" s="38" t="s">
        <v>403</v>
      </c>
      <c r="AH538" s="1430">
        <v>2026</v>
      </c>
      <c r="AI538" s="1430"/>
      <c r="AJ538" s="1430"/>
      <c r="AK538" s="1431"/>
      <c r="AZ538" s="3"/>
      <c r="BA538" s="3"/>
      <c r="BB538" s="3"/>
      <c r="BC538" s="3"/>
      <c r="BD538" s="3"/>
      <c r="BE538" s="3"/>
      <c r="BF538" s="3"/>
      <c r="BG538" s="3"/>
      <c r="BH538" s="3"/>
      <c r="BI538" s="3"/>
      <c r="BJ538" s="3"/>
      <c r="BK538" s="3"/>
      <c r="BL538" s="3"/>
      <c r="BM538" s="3"/>
      <c r="BN538" s="3"/>
    </row>
    <row r="539" spans="1:66" ht="13" customHeight="1">
      <c r="B539" s="1402"/>
      <c r="C539" s="1403"/>
      <c r="D539" s="1403"/>
      <c r="E539" s="1403"/>
      <c r="F539" s="1403"/>
      <c r="G539" s="1403"/>
      <c r="H539" s="1404"/>
      <c r="I539" t="s">
        <v>564</v>
      </c>
      <c r="AC539" s="1392">
        <v>1</v>
      </c>
      <c r="AD539" s="1393"/>
      <c r="AE539" s="1393"/>
      <c r="AF539" s="1393"/>
      <c r="AG539" s="13" t="s">
        <v>403</v>
      </c>
      <c r="AH539" s="1430">
        <v>2026</v>
      </c>
      <c r="AI539" s="1430"/>
      <c r="AJ539" s="1430"/>
      <c r="AK539" s="1431"/>
      <c r="AZ539" s="3"/>
      <c r="BA539" s="3"/>
      <c r="BB539" s="3"/>
      <c r="BC539" s="3"/>
      <c r="BD539" s="3"/>
      <c r="BE539" s="3"/>
      <c r="BF539" s="3"/>
      <c r="BG539" s="3"/>
      <c r="BH539" s="3"/>
      <c r="BI539" s="3"/>
      <c r="BJ539" s="3"/>
      <c r="BK539" s="3"/>
      <c r="BL539" s="3"/>
      <c r="BM539" s="3"/>
      <c r="BN539" s="3"/>
    </row>
    <row r="540" spans="1:66" ht="13" customHeight="1">
      <c r="B540" s="1402"/>
      <c r="C540" s="1403"/>
      <c r="D540" s="1403"/>
      <c r="E540" s="1403"/>
      <c r="F540" s="1403"/>
      <c r="G540" s="1403"/>
      <c r="H540" s="1404"/>
      <c r="I540" t="s">
        <v>565</v>
      </c>
      <c r="AC540" s="1392">
        <v>7</v>
      </c>
      <c r="AD540" s="1393"/>
      <c r="AE540" s="1393"/>
      <c r="AF540" s="1393"/>
      <c r="AG540" s="38" t="s">
        <v>403</v>
      </c>
      <c r="AH540" s="1430">
        <v>2027</v>
      </c>
      <c r="AI540" s="1430"/>
      <c r="AJ540" s="1430"/>
      <c r="AK540" s="1431"/>
      <c r="AZ540" s="3"/>
      <c r="BA540" s="3"/>
      <c r="BB540" s="3"/>
      <c r="BC540" s="3"/>
      <c r="BD540" s="3"/>
      <c r="BE540" s="3"/>
      <c r="BF540" s="3"/>
      <c r="BG540" s="3"/>
      <c r="BH540" s="3"/>
      <c r="BI540" s="3"/>
      <c r="BJ540" s="3"/>
      <c r="BK540" s="3"/>
      <c r="BL540" s="3"/>
      <c r="BM540" s="3"/>
      <c r="BN540" s="3"/>
    </row>
    <row r="541" spans="1:66" ht="13" customHeight="1">
      <c r="B541" s="1402"/>
      <c r="C541" s="1403"/>
      <c r="D541" s="1403"/>
      <c r="E541" s="1403"/>
      <c r="F541" s="1403"/>
      <c r="G541" s="1403"/>
      <c r="H541" s="1404"/>
      <c r="I541" t="s">
        <v>566</v>
      </c>
      <c r="AC541" s="1392">
        <v>7</v>
      </c>
      <c r="AD541" s="1393"/>
      <c r="AE541" s="1393"/>
      <c r="AF541" s="1393"/>
      <c r="AG541" s="38" t="s">
        <v>403</v>
      </c>
      <c r="AH541" s="1430">
        <v>2027</v>
      </c>
      <c r="AI541" s="1430"/>
      <c r="AJ541" s="1430"/>
      <c r="AK541" s="1431"/>
      <c r="AZ541" s="3"/>
      <c r="BA541" s="3"/>
      <c r="BB541" s="3"/>
      <c r="BC541" s="3"/>
      <c r="BD541" s="3"/>
      <c r="BE541" s="3"/>
      <c r="BF541" s="3"/>
      <c r="BG541" s="3"/>
      <c r="BH541" s="3"/>
      <c r="BI541" s="3"/>
      <c r="BJ541" s="3"/>
      <c r="BK541" s="3"/>
      <c r="BL541" s="3"/>
      <c r="BM541" s="3"/>
      <c r="BN541" s="3"/>
    </row>
    <row r="542" spans="1:66" ht="13" customHeight="1">
      <c r="B542" s="1405"/>
      <c r="C542" s="1406"/>
      <c r="D542" s="1406"/>
      <c r="E542" s="1406"/>
      <c r="F542" s="1406"/>
      <c r="G542" s="1406"/>
      <c r="H542" s="1407"/>
      <c r="I542" s="48" t="s">
        <v>452</v>
      </c>
      <c r="J542" s="48"/>
      <c r="K542" s="48"/>
      <c r="L542" s="48"/>
      <c r="M542" s="48"/>
      <c r="N542" s="48"/>
      <c r="O542" s="48"/>
      <c r="P542" s="48"/>
      <c r="Q542" s="48"/>
      <c r="R542" s="48"/>
      <c r="S542" s="48"/>
      <c r="T542" s="48"/>
      <c r="U542" s="48"/>
      <c r="V542" s="48"/>
      <c r="W542" s="48"/>
      <c r="X542" s="48"/>
      <c r="Y542" s="48"/>
      <c r="Z542" s="48"/>
      <c r="AA542" s="48"/>
      <c r="AB542" s="48"/>
      <c r="AC542" s="1392">
        <v>10</v>
      </c>
      <c r="AD542" s="1393"/>
      <c r="AE542" s="1393"/>
      <c r="AF542" s="1393"/>
      <c r="AG542" s="38" t="s">
        <v>403</v>
      </c>
      <c r="AH542" s="1430">
        <v>2027</v>
      </c>
      <c r="AI542" s="1430"/>
      <c r="AJ542" s="1430"/>
      <c r="AK542" s="1431"/>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3" t="s">
        <v>544</v>
      </c>
      <c r="B544" s="1273"/>
      <c r="C544" s="1273"/>
      <c r="D544" s="1273"/>
      <c r="E544" s="1273"/>
      <c r="F544" s="1273"/>
      <c r="G544" s="1273"/>
      <c r="H544" s="1273"/>
      <c r="I544" s="1273"/>
      <c r="J544" s="1273"/>
      <c r="K544" s="1273"/>
      <c r="L544" s="1273"/>
      <c r="M544" s="1273"/>
      <c r="N544" s="1273"/>
      <c r="O544" s="1273"/>
      <c r="P544" s="1273"/>
      <c r="Q544" s="1273"/>
      <c r="R544" s="1273"/>
      <c r="S544" s="1273"/>
      <c r="T544" s="1273"/>
      <c r="U544" s="1273"/>
      <c r="V544" s="1273"/>
      <c r="W544" s="1273"/>
      <c r="X544" s="1273"/>
      <c r="Y544" s="1273"/>
      <c r="Z544" s="1273"/>
      <c r="AA544" s="1273"/>
      <c r="AB544" s="1273"/>
      <c r="AC544" s="1273"/>
      <c r="AD544" s="1273"/>
      <c r="AE544" s="1273"/>
      <c r="AF544" s="1273"/>
      <c r="AG544" s="1273"/>
      <c r="AH544" s="1273"/>
      <c r="AI544" s="1273"/>
      <c r="AJ544" s="1273"/>
      <c r="AK544" s="1273"/>
      <c r="AL544" s="1273"/>
      <c r="AM544" s="1273"/>
      <c r="AN544" s="1273"/>
      <c r="AO544" s="1273"/>
      <c r="AP544" s="1273"/>
      <c r="AQ544" s="1273"/>
      <c r="AR544" s="1273"/>
      <c r="AS544" s="1273"/>
      <c r="AT544" s="1273"/>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3"/>
      <c r="B545" s="1273"/>
      <c r="C545" s="1273"/>
      <c r="D545" s="1273"/>
      <c r="E545" s="1273"/>
      <c r="F545" s="1273"/>
      <c r="G545" s="1273"/>
      <c r="H545" s="1273"/>
      <c r="I545" s="1273"/>
      <c r="J545" s="1273"/>
      <c r="K545" s="1273"/>
      <c r="L545" s="1273"/>
      <c r="M545" s="1273"/>
      <c r="N545" s="1273"/>
      <c r="O545" s="1273"/>
      <c r="P545" s="1273"/>
      <c r="Q545" s="1273"/>
      <c r="R545" s="1273"/>
      <c r="S545" s="1273"/>
      <c r="T545" s="1273"/>
      <c r="U545" s="1273"/>
      <c r="V545" s="1273"/>
      <c r="W545" s="1273"/>
      <c r="X545" s="1273"/>
      <c r="Y545" s="1273"/>
      <c r="Z545" s="1273"/>
      <c r="AA545" s="1273"/>
      <c r="AB545" s="1273"/>
      <c r="AC545" s="1273"/>
      <c r="AD545" s="1273"/>
      <c r="AE545" s="1273"/>
      <c r="AF545" s="1273"/>
      <c r="AG545" s="1273"/>
      <c r="AH545" s="1273"/>
      <c r="AI545" s="1273"/>
      <c r="AJ545" s="1273"/>
      <c r="AK545" s="1273"/>
      <c r="AL545" s="1273"/>
      <c r="AM545" s="1273"/>
      <c r="AN545" s="1273"/>
      <c r="AO545" s="1273"/>
      <c r="AP545" s="1273"/>
      <c r="AQ545" s="1273"/>
      <c r="AR545" s="1273"/>
      <c r="AS545" s="1273"/>
      <c r="AT545" s="1273"/>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319</v>
      </c>
      <c r="B547" s="2"/>
      <c r="C547" s="2" t="s">
        <v>453</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2102</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9" t="s">
        <v>2104</v>
      </c>
      <c r="C551" s="1400"/>
      <c r="D551" s="1400"/>
      <c r="E551" s="1400"/>
      <c r="F551" s="1400"/>
      <c r="G551" s="1400"/>
      <c r="H551" s="1400"/>
      <c r="I551" s="1400"/>
      <c r="J551" s="1400"/>
      <c r="K551" s="1400"/>
      <c r="L551" s="1401"/>
      <c r="M551" s="1399" t="s">
        <v>2105</v>
      </c>
      <c r="N551" s="1400"/>
      <c r="O551" s="1400"/>
      <c r="P551" s="1401"/>
      <c r="Q551" s="1399" t="s">
        <v>2131</v>
      </c>
      <c r="R551" s="1400"/>
      <c r="S551" s="1401"/>
      <c r="T551" s="1399" t="s">
        <v>2132</v>
      </c>
      <c r="U551" s="1400"/>
      <c r="V551" s="1401"/>
      <c r="W551" s="1399" t="s">
        <v>454</v>
      </c>
      <c r="X551" s="1400"/>
      <c r="Y551" s="1401"/>
      <c r="Z551" s="1399" t="s">
        <v>1853</v>
      </c>
      <c r="AA551" s="1400"/>
      <c r="AB551" s="1400"/>
      <c r="AC551" s="1400"/>
      <c r="AD551" s="1401"/>
      <c r="AE551" s="1399" t="s">
        <v>1677</v>
      </c>
      <c r="AF551" s="1400"/>
      <c r="AG551" s="1400"/>
      <c r="AH551" s="1401"/>
      <c r="AI551" s="1399" t="s">
        <v>1678</v>
      </c>
      <c r="AJ551" s="1400"/>
      <c r="AK551" s="1400"/>
      <c r="AL551" s="1401"/>
      <c r="AM551" s="1399" t="s">
        <v>455</v>
      </c>
      <c r="AN551" s="1400"/>
      <c r="AO551" s="1400"/>
      <c r="AP551" s="1400"/>
      <c r="AQ551" s="1400"/>
      <c r="AR551" s="1400"/>
      <c r="AS551" s="1401"/>
      <c r="BB551" s="3"/>
      <c r="BC551" s="3"/>
      <c r="BD551" s="3"/>
      <c r="BE551" s="3"/>
      <c r="BF551" s="3"/>
      <c r="BG551" s="3"/>
      <c r="BH551" s="3" t="s">
        <v>582</v>
      </c>
      <c r="BI551" s="3" t="str">
        <f>AG657</f>
        <v>Yes</v>
      </c>
    </row>
    <row r="552" spans="1:61" ht="13" customHeight="1">
      <c r="B552" s="1402"/>
      <c r="C552" s="1403"/>
      <c r="D552" s="1403"/>
      <c r="E552" s="1403"/>
      <c r="F552" s="1403"/>
      <c r="G552" s="1403"/>
      <c r="H552" s="1403"/>
      <c r="I552" s="1403"/>
      <c r="J552" s="1403"/>
      <c r="K552" s="1403"/>
      <c r="L552" s="1404"/>
      <c r="M552" s="1402"/>
      <c r="N552" s="1403"/>
      <c r="O552" s="1403"/>
      <c r="P552" s="1404"/>
      <c r="Q552" s="1402"/>
      <c r="R552" s="1403"/>
      <c r="S552" s="1404"/>
      <c r="T552" s="1402"/>
      <c r="U552" s="1403"/>
      <c r="V552" s="1404"/>
      <c r="W552" s="1402"/>
      <c r="X552" s="1403"/>
      <c r="Y552" s="1404"/>
      <c r="Z552" s="1402"/>
      <c r="AA552" s="1403"/>
      <c r="AB552" s="1403"/>
      <c r="AC552" s="1403"/>
      <c r="AD552" s="1404"/>
      <c r="AE552" s="1402"/>
      <c r="AF552" s="1403"/>
      <c r="AG552" s="1403"/>
      <c r="AH552" s="1404"/>
      <c r="AI552" s="1402"/>
      <c r="AJ552" s="1403"/>
      <c r="AK552" s="1403"/>
      <c r="AL552" s="1404"/>
      <c r="AM552" s="1402"/>
      <c r="AN552" s="1403"/>
      <c r="AO552" s="1403"/>
      <c r="AP552" s="1403"/>
      <c r="AQ552" s="1403"/>
      <c r="AR552" s="1403"/>
      <c r="AS552" s="1404"/>
      <c r="AU552" s="1147"/>
      <c r="BB552" s="3"/>
      <c r="BC552" s="3"/>
      <c r="BD552" s="3"/>
      <c r="BE552" s="3"/>
      <c r="BF552" s="3"/>
      <c r="BG552" s="3"/>
      <c r="BH552" s="3"/>
      <c r="BI552" s="3"/>
    </row>
    <row r="553" spans="1:61" ht="13" customHeight="1">
      <c r="B553" s="1405"/>
      <c r="C553" s="1406"/>
      <c r="D553" s="1406"/>
      <c r="E553" s="1406"/>
      <c r="F553" s="1406"/>
      <c r="G553" s="1406"/>
      <c r="H553" s="1406"/>
      <c r="I553" s="1406"/>
      <c r="J553" s="1406"/>
      <c r="K553" s="1406"/>
      <c r="L553" s="1407"/>
      <c r="M553" s="1405"/>
      <c r="N553" s="1406"/>
      <c r="O553" s="1406"/>
      <c r="P553" s="1407"/>
      <c r="Q553" s="1405"/>
      <c r="R553" s="1406"/>
      <c r="S553" s="1407"/>
      <c r="T553" s="1405"/>
      <c r="U553" s="1406"/>
      <c r="V553" s="1407"/>
      <c r="W553" s="1405"/>
      <c r="X553" s="1406"/>
      <c r="Y553" s="1407"/>
      <c r="Z553" s="1405"/>
      <c r="AA553" s="1406"/>
      <c r="AB553" s="1406"/>
      <c r="AC553" s="1406"/>
      <c r="AD553" s="1407"/>
      <c r="AE553" s="1405"/>
      <c r="AF553" s="1406"/>
      <c r="AG553" s="1406"/>
      <c r="AH553" s="1407"/>
      <c r="AI553" s="1405"/>
      <c r="AJ553" s="1406"/>
      <c r="AK553" s="1406"/>
      <c r="AL553" s="1407"/>
      <c r="AM553" s="1405"/>
      <c r="AN553" s="1406"/>
      <c r="AO553" s="1406"/>
      <c r="AP553" s="1406"/>
      <c r="AQ553" s="1406"/>
      <c r="AR553" s="1406"/>
      <c r="AS553" s="1407"/>
      <c r="AU553" s="1147"/>
      <c r="BB553" s="3"/>
      <c r="BC553" s="3"/>
      <c r="BD553" s="3"/>
      <c r="BE553" s="3"/>
      <c r="BF553" s="3"/>
      <c r="BG553" s="3"/>
      <c r="BH553" s="3"/>
      <c r="BI553" s="3"/>
    </row>
    <row r="554" spans="1:61" ht="13" customHeight="1">
      <c r="B554" s="51" t="s">
        <v>112</v>
      </c>
      <c r="C554" s="1442" t="s">
        <v>2707</v>
      </c>
      <c r="D554" s="1442"/>
      <c r="E554" s="1442"/>
      <c r="F554" s="1442"/>
      <c r="G554" s="1442"/>
      <c r="H554" s="1442"/>
      <c r="I554" s="1442"/>
      <c r="J554" s="1442"/>
      <c r="K554" s="1442"/>
      <c r="L554" s="1442"/>
      <c r="M554" s="1442" t="s">
        <v>2121</v>
      </c>
      <c r="N554" s="1442"/>
      <c r="O554" s="1442"/>
      <c r="P554" s="1442"/>
      <c r="Q554" s="1428">
        <v>36</v>
      </c>
      <c r="R554" s="1428"/>
      <c r="S554" s="1429"/>
      <c r="T554" s="1427"/>
      <c r="U554" s="1428"/>
      <c r="V554" s="1429"/>
      <c r="W554" s="1424">
        <v>5.96E-2</v>
      </c>
      <c r="X554" s="1425"/>
      <c r="Y554" s="1426"/>
      <c r="Z554" s="1433" t="s">
        <v>2708</v>
      </c>
      <c r="AA554" s="1433"/>
      <c r="AB554" s="1433"/>
      <c r="AC554" s="1433"/>
      <c r="AD554" s="1433"/>
      <c r="AE554" s="1415">
        <v>1</v>
      </c>
      <c r="AF554" s="1416"/>
      <c r="AG554" s="1416"/>
      <c r="AH554" s="1417"/>
      <c r="AI554" s="1439"/>
      <c r="AJ554" s="1440"/>
      <c r="AK554" s="1440"/>
      <c r="AL554" s="1441"/>
      <c r="AM554" s="1468">
        <v>25500000</v>
      </c>
      <c r="AN554" s="1469"/>
      <c r="AO554" s="1469"/>
      <c r="AP554" s="1469"/>
      <c r="AQ554" s="1469"/>
      <c r="AR554" s="1469"/>
      <c r="AS554" s="1470"/>
      <c r="AT554" s="1148"/>
      <c r="AU554" s="1147"/>
      <c r="BB554" s="3"/>
      <c r="BC554" s="3"/>
      <c r="BD554" s="3"/>
      <c r="BE554" s="3"/>
      <c r="BF554" s="3"/>
      <c r="BG554" s="3"/>
      <c r="BH554" s="3"/>
      <c r="BI554" s="3"/>
    </row>
    <row r="555" spans="1:61" ht="13" customHeight="1">
      <c r="B555" s="52" t="s">
        <v>113</v>
      </c>
      <c r="C555" s="1443" t="s">
        <v>2707</v>
      </c>
      <c r="D555" s="1443"/>
      <c r="E555" s="1443"/>
      <c r="F555" s="1443"/>
      <c r="G555" s="1443"/>
      <c r="H555" s="1443"/>
      <c r="I555" s="1443"/>
      <c r="J555" s="1443"/>
      <c r="K555" s="1443"/>
      <c r="L555" s="1443"/>
      <c r="M555" s="1442" t="s">
        <v>2122</v>
      </c>
      <c r="N555" s="1442"/>
      <c r="O555" s="1442"/>
      <c r="P555" s="1442"/>
      <c r="Q555" s="1427">
        <v>36</v>
      </c>
      <c r="R555" s="1428"/>
      <c r="S555" s="1429"/>
      <c r="T555" s="1427"/>
      <c r="U555" s="1428"/>
      <c r="V555" s="1429"/>
      <c r="W555" s="1424">
        <v>5.96E-2</v>
      </c>
      <c r="X555" s="1425"/>
      <c r="Y555" s="1426"/>
      <c r="Z555" s="1433" t="s">
        <v>2708</v>
      </c>
      <c r="AA555" s="1433"/>
      <c r="AB555" s="1433"/>
      <c r="AC555" s="1433"/>
      <c r="AD555" s="1433"/>
      <c r="AE555" s="1415">
        <v>1</v>
      </c>
      <c r="AF555" s="1416"/>
      <c r="AG555" s="1416"/>
      <c r="AH555" s="1417"/>
      <c r="AI555" s="1439"/>
      <c r="AJ555" s="1440"/>
      <c r="AK555" s="1440"/>
      <c r="AL555" s="1441"/>
      <c r="AM555" s="1468">
        <v>3000000</v>
      </c>
      <c r="AN555" s="1469"/>
      <c r="AO555" s="1469"/>
      <c r="AP555" s="1469"/>
      <c r="AQ555" s="1469"/>
      <c r="AR555" s="1469"/>
      <c r="AS555" s="1470"/>
      <c r="AT555" s="1148" t="str">
        <f>IF(AND(NOT(C554=""),C555="",NOT(C556="")),"!","")</f>
        <v/>
      </c>
      <c r="AU555" s="1147"/>
      <c r="BB555" s="3"/>
      <c r="BC555" s="3"/>
      <c r="BD555" s="3"/>
      <c r="BE555" s="3"/>
      <c r="BF555" s="3"/>
      <c r="BG555" s="3"/>
      <c r="BH555" s="3"/>
      <c r="BI555" s="3"/>
    </row>
    <row r="556" spans="1:61" ht="13" customHeight="1">
      <c r="B556" s="52" t="s">
        <v>119</v>
      </c>
      <c r="C556" s="1443" t="s">
        <v>2707</v>
      </c>
      <c r="D556" s="1443"/>
      <c r="E556" s="1443"/>
      <c r="F556" s="1443"/>
      <c r="G556" s="1443"/>
      <c r="H556" s="1443"/>
      <c r="I556" s="1443"/>
      <c r="J556" s="1443"/>
      <c r="K556" s="1443"/>
      <c r="L556" s="1443"/>
      <c r="M556" s="1442" t="s">
        <v>2120</v>
      </c>
      <c r="N556" s="1442"/>
      <c r="O556" s="1442"/>
      <c r="P556" s="1442"/>
      <c r="Q556" s="1427">
        <v>36</v>
      </c>
      <c r="R556" s="1428"/>
      <c r="S556" s="1429"/>
      <c r="T556" s="1427"/>
      <c r="U556" s="1428"/>
      <c r="V556" s="1429"/>
      <c r="W556" s="1424">
        <v>6.4600000000000005E-2</v>
      </c>
      <c r="X556" s="1425"/>
      <c r="Y556" s="1426"/>
      <c r="Z556" s="1433" t="s">
        <v>2708</v>
      </c>
      <c r="AA556" s="1433"/>
      <c r="AB556" s="1433"/>
      <c r="AC556" s="1433"/>
      <c r="AD556" s="1433"/>
      <c r="AE556" s="1415">
        <v>1</v>
      </c>
      <c r="AF556" s="1416"/>
      <c r="AG556" s="1416"/>
      <c r="AH556" s="1417"/>
      <c r="AI556" s="1439"/>
      <c r="AJ556" s="1440"/>
      <c r="AK556" s="1440"/>
      <c r="AL556" s="1441"/>
      <c r="AM556" s="1468">
        <v>5791191</v>
      </c>
      <c r="AN556" s="1469"/>
      <c r="AO556" s="1469"/>
      <c r="AP556" s="1469"/>
      <c r="AQ556" s="1469"/>
      <c r="AR556" s="1469"/>
      <c r="AS556" s="1470"/>
      <c r="AT556" s="1148" t="str">
        <f>IF(AND(NOT(C555=""),C556="",NOT(C557="")),"!","")</f>
        <v/>
      </c>
      <c r="AU556" s="1147"/>
      <c r="BB556" s="3"/>
      <c r="BC556" s="3"/>
      <c r="BD556" s="3"/>
      <c r="BE556" s="3"/>
      <c r="BF556" s="3"/>
      <c r="BG556" s="3"/>
      <c r="BH556" s="3"/>
      <c r="BI556" s="3"/>
    </row>
    <row r="557" spans="1:61" ht="13" customHeight="1">
      <c r="B557" s="52" t="s">
        <v>582</v>
      </c>
      <c r="C557" s="1443" t="s">
        <v>2706</v>
      </c>
      <c r="D557" s="1443"/>
      <c r="E557" s="1443"/>
      <c r="F557" s="1443"/>
      <c r="G557" s="1443"/>
      <c r="H557" s="1443"/>
      <c r="I557" s="1443"/>
      <c r="J557" s="1443"/>
      <c r="K557" s="1443"/>
      <c r="L557" s="1443"/>
      <c r="M557" s="1442" t="s">
        <v>2119</v>
      </c>
      <c r="N557" s="1442"/>
      <c r="O557" s="1442"/>
      <c r="P557" s="1442"/>
      <c r="Q557" s="1427">
        <f>55*12</f>
        <v>660</v>
      </c>
      <c r="R557" s="1428"/>
      <c r="S557" s="1429"/>
      <c r="T557" s="1427"/>
      <c r="U557" s="1428"/>
      <c r="V557" s="1429"/>
      <c r="W557" s="1424">
        <v>0.03</v>
      </c>
      <c r="X557" s="1425"/>
      <c r="Y557" s="1426"/>
      <c r="Z557" s="1433" t="s">
        <v>2709</v>
      </c>
      <c r="AA557" s="1433"/>
      <c r="AB557" s="1433"/>
      <c r="AC557" s="1433"/>
      <c r="AD557" s="1433"/>
      <c r="AE557" s="1415">
        <v>3</v>
      </c>
      <c r="AF557" s="1416"/>
      <c r="AG557" s="1416"/>
      <c r="AH557" s="1417"/>
      <c r="AI557" s="1439"/>
      <c r="AJ557" s="1440"/>
      <c r="AK557" s="1440"/>
      <c r="AL557" s="1441"/>
      <c r="AM557" s="1468">
        <v>5000000</v>
      </c>
      <c r="AN557" s="1469"/>
      <c r="AO557" s="1469"/>
      <c r="AP557" s="1469"/>
      <c r="AQ557" s="1469"/>
      <c r="AR557" s="1469"/>
      <c r="AS557" s="1470"/>
      <c r="AT557" s="1148" t="str">
        <f>IF(AND(NOT(C556=""),C557="",NOT(C558="")),"!","")</f>
        <v/>
      </c>
      <c r="AU557" s="1147"/>
      <c r="BB557" s="3"/>
      <c r="BC557" s="3"/>
      <c r="BD557" s="3"/>
      <c r="BE557" s="3"/>
      <c r="BF557" s="3"/>
      <c r="BG557" s="3"/>
      <c r="BH557" s="3"/>
      <c r="BI557" s="3"/>
    </row>
    <row r="558" spans="1:61" ht="13" customHeight="1">
      <c r="B558" s="52" t="s">
        <v>764</v>
      </c>
      <c r="C558" s="1443" t="s">
        <v>2710</v>
      </c>
      <c r="D558" s="1443"/>
      <c r="E558" s="1443"/>
      <c r="F558" s="1443"/>
      <c r="G558" s="1443"/>
      <c r="H558" s="1443"/>
      <c r="I558" s="1443"/>
      <c r="J558" s="1443"/>
      <c r="K558" s="1443"/>
      <c r="L558" s="1443"/>
      <c r="M558" s="1442" t="s">
        <v>2119</v>
      </c>
      <c r="N558" s="1442"/>
      <c r="O558" s="1442"/>
      <c r="P558" s="1442"/>
      <c r="Q558" s="1427">
        <f>55*12</f>
        <v>660</v>
      </c>
      <c r="R558" s="1428"/>
      <c r="S558" s="1429"/>
      <c r="T558" s="1427"/>
      <c r="U558" s="1428"/>
      <c r="V558" s="1429"/>
      <c r="W558" s="1424"/>
      <c r="X558" s="1425"/>
      <c r="Y558" s="1426"/>
      <c r="Z558" s="1433" t="s">
        <v>2709</v>
      </c>
      <c r="AA558" s="1433"/>
      <c r="AB558" s="1433"/>
      <c r="AC558" s="1433"/>
      <c r="AD558" s="1433"/>
      <c r="AE558" s="1415">
        <v>3</v>
      </c>
      <c r="AF558" s="1416"/>
      <c r="AG558" s="1416"/>
      <c r="AH558" s="1417"/>
      <c r="AI558" s="1439"/>
      <c r="AJ558" s="1440"/>
      <c r="AK558" s="1440"/>
      <c r="AL558" s="1441"/>
      <c r="AM558" s="1468">
        <v>300000</v>
      </c>
      <c r="AN558" s="1469"/>
      <c r="AO558" s="1469"/>
      <c r="AP558" s="1469"/>
      <c r="AQ558" s="1469"/>
      <c r="AR558" s="1469"/>
      <c r="AS558" s="1470"/>
      <c r="AT558" s="1148" t="str">
        <f t="shared" ref="AT558:AT565" si="0">IF(AND(NOT(C557=""),C558="",NOT(C559="")),"!","")</f>
        <v/>
      </c>
      <c r="AU558" s="1147"/>
      <c r="BB558" s="3"/>
      <c r="BC558" s="3"/>
      <c r="BD558" s="3"/>
      <c r="BE558" s="3"/>
      <c r="BF558" s="3"/>
      <c r="BG558" s="3"/>
      <c r="BH558" s="3" t="s">
        <v>764</v>
      </c>
      <c r="BI558" s="3" t="str">
        <f>N665</f>
        <v>Yes</v>
      </c>
    </row>
    <row r="559" spans="1:61" ht="13" customHeight="1">
      <c r="B559" s="52" t="s">
        <v>585</v>
      </c>
      <c r="C559" s="1443" t="s">
        <v>2664</v>
      </c>
      <c r="D559" s="1443"/>
      <c r="E559" s="1443"/>
      <c r="F559" s="1443"/>
      <c r="G559" s="1443"/>
      <c r="H559" s="1443"/>
      <c r="I559" s="1443"/>
      <c r="J559" s="1443"/>
      <c r="K559" s="1443"/>
      <c r="L559" s="1443"/>
      <c r="M559" s="1442" t="s">
        <v>2112</v>
      </c>
      <c r="N559" s="1442"/>
      <c r="O559" s="1442"/>
      <c r="P559" s="1442"/>
      <c r="Q559" s="1427"/>
      <c r="R559" s="1428"/>
      <c r="S559" s="1429"/>
      <c r="T559" s="1427"/>
      <c r="U559" s="1428"/>
      <c r="V559" s="1429"/>
      <c r="W559" s="1424"/>
      <c r="X559" s="1425"/>
      <c r="Y559" s="1426"/>
      <c r="Z559" s="1433" t="s">
        <v>1185</v>
      </c>
      <c r="AA559" s="1433"/>
      <c r="AB559" s="1433"/>
      <c r="AC559" s="1433"/>
      <c r="AD559" s="1433"/>
      <c r="AE559" s="1415"/>
      <c r="AF559" s="1416"/>
      <c r="AG559" s="1416"/>
      <c r="AH559" s="1417"/>
      <c r="AI559" s="1439"/>
      <c r="AJ559" s="1440"/>
      <c r="AK559" s="1440"/>
      <c r="AL559" s="1441"/>
      <c r="AM559" s="1468">
        <v>2109479</v>
      </c>
      <c r="AN559" s="1469"/>
      <c r="AO559" s="1469"/>
      <c r="AP559" s="1469"/>
      <c r="AQ559" s="1469"/>
      <c r="AR559" s="1469"/>
      <c r="AS559" s="1470"/>
      <c r="AT559" s="1148" t="str">
        <f t="shared" si="0"/>
        <v/>
      </c>
      <c r="AU559" s="1147"/>
      <c r="BB559" s="3"/>
      <c r="BC559" s="3"/>
      <c r="BD559" s="3"/>
      <c r="BE559" s="3"/>
      <c r="BF559" s="3"/>
      <c r="BG559" s="3"/>
      <c r="BH559" s="3" t="s">
        <v>585</v>
      </c>
      <c r="BI559" s="3" t="str">
        <f>AG665</f>
        <v>Yes</v>
      </c>
    </row>
    <row r="560" spans="1:61" ht="13" customHeight="1">
      <c r="B560" s="52" t="s">
        <v>456</v>
      </c>
      <c r="C560" s="1443" t="s">
        <v>2711</v>
      </c>
      <c r="D560" s="1443"/>
      <c r="E560" s="1443"/>
      <c r="F560" s="1443"/>
      <c r="G560" s="1443"/>
      <c r="H560" s="1443"/>
      <c r="I560" s="1443"/>
      <c r="J560" s="1443"/>
      <c r="K560" s="1443"/>
      <c r="L560" s="1443"/>
      <c r="M560" s="1442" t="s">
        <v>2107</v>
      </c>
      <c r="N560" s="1442"/>
      <c r="O560" s="1442"/>
      <c r="P560" s="1442"/>
      <c r="Q560" s="1427"/>
      <c r="R560" s="1428"/>
      <c r="S560" s="1429"/>
      <c r="T560" s="1427"/>
      <c r="U560" s="1428"/>
      <c r="V560" s="1429"/>
      <c r="W560" s="1424"/>
      <c r="X560" s="1425"/>
      <c r="Y560" s="1426"/>
      <c r="Z560" s="1433" t="s">
        <v>1185</v>
      </c>
      <c r="AA560" s="1433"/>
      <c r="AB560" s="1433"/>
      <c r="AC560" s="1433"/>
      <c r="AD560" s="1433"/>
      <c r="AE560" s="1415"/>
      <c r="AF560" s="1416"/>
      <c r="AG560" s="1416"/>
      <c r="AH560" s="1417"/>
      <c r="AI560" s="1439"/>
      <c r="AJ560" s="1440"/>
      <c r="AK560" s="1440"/>
      <c r="AL560" s="1441"/>
      <c r="AM560" s="1468">
        <f>49406004-41700670</f>
        <v>7705334</v>
      </c>
      <c r="AN560" s="1469"/>
      <c r="AO560" s="1469"/>
      <c r="AP560" s="1469"/>
      <c r="AQ560" s="1469"/>
      <c r="AR560" s="1469"/>
      <c r="AS560" s="1470"/>
      <c r="AT560" s="1148" t="str">
        <f t="shared" si="0"/>
        <v/>
      </c>
      <c r="AU560" s="1147"/>
      <c r="BB560" s="3"/>
      <c r="BC560" s="3"/>
      <c r="BD560" s="3"/>
      <c r="BE560" s="3"/>
      <c r="BF560" s="3"/>
      <c r="BG560" s="3"/>
      <c r="BH560" s="3"/>
      <c r="BI560" s="3"/>
    </row>
    <row r="561" spans="1:61" ht="13" customHeight="1">
      <c r="B561" s="52" t="s">
        <v>457</v>
      </c>
      <c r="C561" s="1443"/>
      <c r="D561" s="1443"/>
      <c r="E561" s="1443"/>
      <c r="F561" s="1443"/>
      <c r="G561" s="1443"/>
      <c r="H561" s="1443"/>
      <c r="I561" s="1443"/>
      <c r="J561" s="1443"/>
      <c r="K561" s="1443"/>
      <c r="L561" s="1443"/>
      <c r="M561" s="1442" t="s">
        <v>1185</v>
      </c>
      <c r="N561" s="1442"/>
      <c r="O561" s="1442"/>
      <c r="P561" s="1442"/>
      <c r="Q561" s="1427"/>
      <c r="R561" s="1428"/>
      <c r="S561" s="1429"/>
      <c r="T561" s="1427"/>
      <c r="U561" s="1428"/>
      <c r="V561" s="1429"/>
      <c r="W561" s="1424"/>
      <c r="X561" s="1425"/>
      <c r="Y561" s="1426"/>
      <c r="Z561" s="1433" t="s">
        <v>1185</v>
      </c>
      <c r="AA561" s="1433"/>
      <c r="AB561" s="1433"/>
      <c r="AC561" s="1433"/>
      <c r="AD561" s="1433"/>
      <c r="AE561" s="1415"/>
      <c r="AF561" s="1416"/>
      <c r="AG561" s="1416"/>
      <c r="AH561" s="1417"/>
      <c r="AI561" s="1439"/>
      <c r="AJ561" s="1440"/>
      <c r="AK561" s="1440"/>
      <c r="AL561" s="1441"/>
      <c r="AM561" s="1468"/>
      <c r="AN561" s="1469"/>
      <c r="AO561" s="1469"/>
      <c r="AP561" s="1469"/>
      <c r="AQ561" s="1469"/>
      <c r="AR561" s="1469"/>
      <c r="AS561" s="1470"/>
      <c r="AT561" s="1148" t="str">
        <f t="shared" si="0"/>
        <v/>
      </c>
      <c r="AU561" s="1147"/>
      <c r="BB561" s="3"/>
      <c r="BC561" s="3"/>
      <c r="BD561" s="3"/>
      <c r="BE561" s="3"/>
      <c r="BF561" s="3"/>
      <c r="BG561" s="3"/>
      <c r="BH561" s="3"/>
      <c r="BI561" s="3"/>
    </row>
    <row r="562" spans="1:61" ht="13" customHeight="1">
      <c r="B562" s="52" t="s">
        <v>462</v>
      </c>
      <c r="C562" s="1443"/>
      <c r="D562" s="1443"/>
      <c r="E562" s="1443"/>
      <c r="F562" s="1443"/>
      <c r="G562" s="1443"/>
      <c r="H562" s="1443"/>
      <c r="I562" s="1443"/>
      <c r="J562" s="1443"/>
      <c r="K562" s="1443"/>
      <c r="L562" s="1443"/>
      <c r="M562" s="1442" t="s">
        <v>1185</v>
      </c>
      <c r="N562" s="1442"/>
      <c r="O562" s="1442"/>
      <c r="P562" s="1442"/>
      <c r="Q562" s="1427"/>
      <c r="R562" s="1428"/>
      <c r="S562" s="1429"/>
      <c r="T562" s="1427"/>
      <c r="U562" s="1428"/>
      <c r="V562" s="1429"/>
      <c r="W562" s="1424"/>
      <c r="X562" s="1425"/>
      <c r="Y562" s="1426"/>
      <c r="Z562" s="1433" t="s">
        <v>1185</v>
      </c>
      <c r="AA562" s="1433"/>
      <c r="AB562" s="1433"/>
      <c r="AC562" s="1433"/>
      <c r="AD562" s="1433"/>
      <c r="AE562" s="1415"/>
      <c r="AF562" s="1416"/>
      <c r="AG562" s="1416"/>
      <c r="AH562" s="1417"/>
      <c r="AI562" s="1439"/>
      <c r="AJ562" s="1440"/>
      <c r="AK562" s="1440"/>
      <c r="AL562" s="1441"/>
      <c r="AM562" s="1468"/>
      <c r="AN562" s="1469"/>
      <c r="AO562" s="1469"/>
      <c r="AP562" s="1469"/>
      <c r="AQ562" s="1469"/>
      <c r="AR562" s="1469"/>
      <c r="AS562" s="1470"/>
      <c r="AT562" s="1148" t="str">
        <f t="shared" si="0"/>
        <v/>
      </c>
      <c r="AU562" s="1147"/>
      <c r="BB562" s="3"/>
      <c r="BC562" s="3"/>
      <c r="BD562" s="3"/>
      <c r="BE562" s="3"/>
      <c r="BF562" s="3"/>
      <c r="BG562" s="3"/>
      <c r="BH562" s="3"/>
      <c r="BI562" s="3"/>
    </row>
    <row r="563" spans="1:61" ht="13" customHeight="1">
      <c r="B563" s="52" t="s">
        <v>647</v>
      </c>
      <c r="C563" s="1443"/>
      <c r="D563" s="1443"/>
      <c r="E563" s="1443"/>
      <c r="F563" s="1443"/>
      <c r="G563" s="1443"/>
      <c r="H563" s="1443"/>
      <c r="I563" s="1443"/>
      <c r="J563" s="1443"/>
      <c r="K563" s="1443"/>
      <c r="L563" s="1443"/>
      <c r="M563" s="1442" t="s">
        <v>1185</v>
      </c>
      <c r="N563" s="1442"/>
      <c r="O563" s="1442"/>
      <c r="P563" s="1442"/>
      <c r="Q563" s="1427"/>
      <c r="R563" s="1428"/>
      <c r="S563" s="1429"/>
      <c r="T563" s="1427"/>
      <c r="U563" s="1428"/>
      <c r="V563" s="1429"/>
      <c r="W563" s="1424"/>
      <c r="X563" s="1425"/>
      <c r="Y563" s="1426"/>
      <c r="Z563" s="1433" t="s">
        <v>1185</v>
      </c>
      <c r="AA563" s="1433"/>
      <c r="AB563" s="1433"/>
      <c r="AC563" s="1433"/>
      <c r="AD563" s="1433"/>
      <c r="AE563" s="1415"/>
      <c r="AF563" s="1416"/>
      <c r="AG563" s="1416"/>
      <c r="AH563" s="1417"/>
      <c r="AI563" s="1439"/>
      <c r="AJ563" s="1440"/>
      <c r="AK563" s="1440"/>
      <c r="AL563" s="1441"/>
      <c r="AM563" s="1468"/>
      <c r="AN563" s="1469"/>
      <c r="AO563" s="1469"/>
      <c r="AP563" s="1469"/>
      <c r="AQ563" s="1469"/>
      <c r="AR563" s="1469"/>
      <c r="AS563" s="1470"/>
      <c r="AT563" s="1148" t="str">
        <f t="shared" si="0"/>
        <v/>
      </c>
      <c r="BB563" s="3"/>
      <c r="BC563" s="3"/>
      <c r="BD563" s="3"/>
      <c r="BE563" s="3"/>
      <c r="BF563" s="3"/>
      <c r="BG563" s="3"/>
      <c r="BH563" s="3"/>
      <c r="BI563" s="3"/>
    </row>
    <row r="564" spans="1:61" ht="13" customHeight="1">
      <c r="B564" s="52" t="s">
        <v>362</v>
      </c>
      <c r="C564" s="1443"/>
      <c r="D564" s="1443"/>
      <c r="E564" s="1443"/>
      <c r="F564" s="1443"/>
      <c r="G564" s="1443"/>
      <c r="H564" s="1443"/>
      <c r="I564" s="1443"/>
      <c r="J564" s="1443"/>
      <c r="K564" s="1443"/>
      <c r="L564" s="1443"/>
      <c r="M564" s="1442" t="s">
        <v>1185</v>
      </c>
      <c r="N564" s="1442"/>
      <c r="O564" s="1442"/>
      <c r="P564" s="1442"/>
      <c r="Q564" s="1427"/>
      <c r="R564" s="1428"/>
      <c r="S564" s="1429"/>
      <c r="T564" s="1427"/>
      <c r="U564" s="1428"/>
      <c r="V564" s="1429"/>
      <c r="W564" s="1424"/>
      <c r="X564" s="1425"/>
      <c r="Y564" s="1426"/>
      <c r="Z564" s="1433" t="s">
        <v>1185</v>
      </c>
      <c r="AA564" s="1433"/>
      <c r="AB564" s="1433"/>
      <c r="AC564" s="1433"/>
      <c r="AD564" s="1433"/>
      <c r="AE564" s="1415"/>
      <c r="AF564" s="1416"/>
      <c r="AG564" s="1416"/>
      <c r="AH564" s="1417"/>
      <c r="AI564" s="1439"/>
      <c r="AJ564" s="1440"/>
      <c r="AK564" s="1440"/>
      <c r="AL564" s="1441"/>
      <c r="AM564" s="1468"/>
      <c r="AN564" s="1469"/>
      <c r="AO564" s="1469"/>
      <c r="AP564" s="1469"/>
      <c r="AQ564" s="1469"/>
      <c r="AR564" s="1469"/>
      <c r="AS564" s="1470"/>
      <c r="AT564" s="1148" t="str">
        <f t="shared" si="0"/>
        <v/>
      </c>
      <c r="BB564" s="3"/>
      <c r="BC564" s="3"/>
      <c r="BD564" s="3"/>
      <c r="BE564" s="3"/>
      <c r="BF564" s="3"/>
      <c r="BG564" s="3"/>
      <c r="BH564" s="3"/>
      <c r="BI564" s="3"/>
    </row>
    <row r="565" spans="1:61" ht="13" customHeight="1">
      <c r="B565" s="52" t="s">
        <v>363</v>
      </c>
      <c r="C565" s="1443"/>
      <c r="D565" s="1443"/>
      <c r="E565" s="1443"/>
      <c r="F565" s="1443"/>
      <c r="G565" s="1443"/>
      <c r="H565" s="1443"/>
      <c r="I565" s="1443"/>
      <c r="J565" s="1443"/>
      <c r="K565" s="1443"/>
      <c r="L565" s="1443"/>
      <c r="M565" s="1442" t="s">
        <v>1185</v>
      </c>
      <c r="N565" s="1442"/>
      <c r="O565" s="1442"/>
      <c r="P565" s="1442"/>
      <c r="Q565" s="1427"/>
      <c r="R565" s="1428"/>
      <c r="S565" s="1429"/>
      <c r="T565" s="1427"/>
      <c r="U565" s="1428"/>
      <c r="V565" s="1429"/>
      <c r="W565" s="1424"/>
      <c r="X565" s="1425"/>
      <c r="Y565" s="1426"/>
      <c r="Z565" s="1433" t="s">
        <v>1185</v>
      </c>
      <c r="AA565" s="1433"/>
      <c r="AB565" s="1433"/>
      <c r="AC565" s="1433"/>
      <c r="AD565" s="1433"/>
      <c r="AE565" s="1415"/>
      <c r="AF565" s="1416"/>
      <c r="AG565" s="1416"/>
      <c r="AH565" s="1417"/>
      <c r="AI565" s="1439"/>
      <c r="AJ565" s="1440"/>
      <c r="AK565" s="1440"/>
      <c r="AL565" s="1441"/>
      <c r="AM565" s="1468"/>
      <c r="AN565" s="1469"/>
      <c r="AO565" s="1469"/>
      <c r="AP565" s="1469"/>
      <c r="AQ565" s="1469"/>
      <c r="AR565" s="1469"/>
      <c r="AS565" s="1470"/>
      <c r="AT565" s="1148" t="str">
        <f t="shared" si="0"/>
        <v/>
      </c>
      <c r="BB565" s="3"/>
      <c r="BC565" s="3"/>
      <c r="BD565" s="3"/>
      <c r="BE565" s="3"/>
      <c r="BF565" s="3"/>
      <c r="BG565" s="3"/>
      <c r="BH565" s="3"/>
      <c r="BI565" s="3"/>
    </row>
    <row r="566" spans="1:61" ht="13" customHeight="1">
      <c r="B566" s="1411" t="s">
        <v>127</v>
      </c>
      <c r="C566" s="1412"/>
      <c r="D566" s="1412"/>
      <c r="E566" s="1412"/>
      <c r="F566" s="1412"/>
      <c r="G566" s="1412"/>
      <c r="H566" s="1412"/>
      <c r="I566" s="1412"/>
      <c r="J566" s="1412"/>
      <c r="K566" s="1412"/>
      <c r="L566" s="1412"/>
      <c r="M566" s="1412"/>
      <c r="N566" s="1412"/>
      <c r="O566" s="1412"/>
      <c r="P566" s="1412"/>
      <c r="Q566" s="1412"/>
      <c r="R566" s="1412"/>
      <c r="S566" s="1412"/>
      <c r="T566" s="1412"/>
      <c r="U566" s="1413"/>
      <c r="V566" s="1412"/>
      <c r="W566" s="1412"/>
      <c r="X566" s="1412"/>
      <c r="Y566" s="1412"/>
      <c r="Z566" s="1412"/>
      <c r="AA566" s="1412"/>
      <c r="AB566" s="1412"/>
      <c r="AC566" s="1412"/>
      <c r="AD566" s="1412"/>
      <c r="AE566" s="1412"/>
      <c r="AF566" s="1412"/>
      <c r="AG566" s="1412"/>
      <c r="AH566" s="1412"/>
      <c r="AI566" s="1412"/>
      <c r="AJ566" s="1412"/>
      <c r="AK566" s="1412"/>
      <c r="AL566" s="1414"/>
      <c r="AM566" s="1475">
        <f>SUM(AM554:AS565)</f>
        <v>49406004</v>
      </c>
      <c r="AN566" s="1476"/>
      <c r="AO566" s="1476"/>
      <c r="AP566" s="1476"/>
      <c r="AQ566" s="1476"/>
      <c r="AR566" s="1476"/>
      <c r="AS566" s="1477"/>
      <c r="BB566" s="3"/>
      <c r="BC566" s="3"/>
      <c r="BD566" s="3"/>
      <c r="BE566" s="3"/>
      <c r="BF566" s="3"/>
      <c r="BG566" s="3"/>
      <c r="BH566" s="3" t="s">
        <v>456</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3" customHeight="1">
      <c r="A568" s="55" t="s">
        <v>112</v>
      </c>
      <c r="B568" t="s">
        <v>464</v>
      </c>
      <c r="G568" s="1486" t="str">
        <f>C554</f>
        <v>Citibank, N.A.</v>
      </c>
      <c r="H568" s="1486"/>
      <c r="I568" s="1486"/>
      <c r="J568" s="1486"/>
      <c r="K568" s="1486"/>
      <c r="L568" s="1486"/>
      <c r="M568" s="1486"/>
      <c r="N568" s="1486"/>
      <c r="O568" s="1486"/>
      <c r="P568" s="1486"/>
      <c r="Q568" s="1486"/>
      <c r="R568" s="1486"/>
      <c r="S568" s="8"/>
      <c r="T568" s="55" t="s">
        <v>113</v>
      </c>
      <c r="U568" t="s">
        <v>464</v>
      </c>
      <c r="Z568" s="1486" t="str">
        <f>C555</f>
        <v>Citibank, N.A.</v>
      </c>
      <c r="AA568" s="1486"/>
      <c r="AB568" s="1486"/>
      <c r="AC568" s="1486"/>
      <c r="AD568" s="1486"/>
      <c r="AE568" s="1486"/>
      <c r="AF568" s="1486"/>
      <c r="AG568" s="1486"/>
      <c r="AH568" s="1486"/>
      <c r="AI568" s="1486"/>
      <c r="AJ568" s="1486"/>
      <c r="AK568" s="1486"/>
      <c r="BB568" s="3"/>
      <c r="BC568" s="3"/>
      <c r="BD568" s="3"/>
      <c r="BE568" s="3"/>
      <c r="BF568" s="3"/>
      <c r="BG568" s="3"/>
      <c r="BH568" s="3"/>
      <c r="BI568" s="3"/>
    </row>
    <row r="569" spans="1:61" ht="13" customHeight="1">
      <c r="A569" s="22"/>
      <c r="B569" t="s">
        <v>85</v>
      </c>
      <c r="G569" s="1410" t="s">
        <v>2712</v>
      </c>
      <c r="H569" s="1410"/>
      <c r="I569" s="1410"/>
      <c r="J569" s="1410"/>
      <c r="K569" s="1410"/>
      <c r="L569" s="1410"/>
      <c r="M569" s="1410"/>
      <c r="N569" s="1410"/>
      <c r="O569" s="1410"/>
      <c r="P569" s="1410"/>
      <c r="Q569" s="1410"/>
      <c r="R569" s="1410"/>
      <c r="S569" s="8"/>
      <c r="T569" s="22"/>
      <c r="U569" t="s">
        <v>85</v>
      </c>
      <c r="Z569" s="1410" t="s">
        <v>2712</v>
      </c>
      <c r="AA569" s="1410"/>
      <c r="AB569" s="1410"/>
      <c r="AC569" s="1410"/>
      <c r="AD569" s="1410"/>
      <c r="AE569" s="1410"/>
      <c r="AF569" s="1410"/>
      <c r="AG569" s="1410"/>
      <c r="AH569" s="1410"/>
      <c r="AI569" s="1410"/>
      <c r="AJ569" s="1410"/>
      <c r="AK569" s="1410"/>
      <c r="BB569" s="3"/>
      <c r="BC569" s="3"/>
      <c r="BD569" s="3"/>
      <c r="BE569" s="3"/>
      <c r="BF569" s="3"/>
      <c r="BG569" s="3"/>
      <c r="BH569" s="3"/>
      <c r="BI569" s="3"/>
    </row>
    <row r="570" spans="1:61" ht="13" customHeight="1">
      <c r="A570" s="22"/>
      <c r="B570" t="s">
        <v>581</v>
      </c>
      <c r="G570" s="1410" t="s">
        <v>2713</v>
      </c>
      <c r="H570" s="1410"/>
      <c r="I570" s="1410"/>
      <c r="J570" s="1410"/>
      <c r="K570" s="1410"/>
      <c r="L570" s="1410"/>
      <c r="M570" s="1410"/>
      <c r="N570" s="1410"/>
      <c r="O570" s="1410"/>
      <c r="P570" s="1410"/>
      <c r="Q570" s="1410"/>
      <c r="R570" s="1410"/>
      <c r="T570" s="22"/>
      <c r="U570" t="s">
        <v>581</v>
      </c>
      <c r="Z570" s="1374" t="s">
        <v>2713</v>
      </c>
      <c r="AA570" s="1374"/>
      <c r="AB570" s="1374"/>
      <c r="AC570" s="1374"/>
      <c r="AD570" s="1374"/>
      <c r="AE570" s="1374"/>
      <c r="AF570" s="1374"/>
      <c r="AG570" s="1374"/>
      <c r="AH570" s="1374"/>
      <c r="AI570" s="1374"/>
      <c r="AJ570" s="1374"/>
      <c r="AK570" s="1374"/>
      <c r="BB570" s="3"/>
      <c r="BC570" s="3"/>
      <c r="BD570" s="3"/>
      <c r="BE570" s="3"/>
      <c r="BF570" s="3"/>
      <c r="BG570" s="3"/>
      <c r="BH570" s="3"/>
      <c r="BI570" s="3"/>
    </row>
    <row r="571" spans="1:61" ht="13" customHeight="1">
      <c r="A571" s="22"/>
      <c r="B571" t="s">
        <v>17</v>
      </c>
      <c r="G571" s="1410" t="s">
        <v>2714</v>
      </c>
      <c r="H571" s="1410"/>
      <c r="I571" s="1410"/>
      <c r="J571" s="1410"/>
      <c r="K571" s="1410"/>
      <c r="L571" s="1410"/>
      <c r="M571" s="1410"/>
      <c r="N571" s="1410"/>
      <c r="O571" s="1410"/>
      <c r="P571" s="1410"/>
      <c r="Q571" s="1410"/>
      <c r="R571" s="1410"/>
      <c r="S571" s="8"/>
      <c r="T571" s="22"/>
      <c r="U571" t="s">
        <v>17</v>
      </c>
      <c r="Z571" s="1374" t="s">
        <v>2714</v>
      </c>
      <c r="AA571" s="1374"/>
      <c r="AB571" s="1374"/>
      <c r="AC571" s="1374"/>
      <c r="AD571" s="1374"/>
      <c r="AE571" s="1374"/>
      <c r="AF571" s="1374"/>
      <c r="AG571" s="1374"/>
      <c r="AH571" s="1374"/>
      <c r="AI571" s="1374"/>
      <c r="AJ571" s="1374"/>
      <c r="AK571" s="1374"/>
      <c r="BB571" s="3"/>
      <c r="BC571" s="3"/>
      <c r="BD571" s="3"/>
      <c r="BE571" s="3"/>
      <c r="BF571" s="3"/>
      <c r="BG571" s="3"/>
      <c r="BH571" s="3"/>
      <c r="BI571" s="3"/>
    </row>
    <row r="572" spans="1:61" ht="13" customHeight="1">
      <c r="A572" s="22"/>
      <c r="B572" t="s">
        <v>316</v>
      </c>
      <c r="G572" s="1490" t="s">
        <v>2715</v>
      </c>
      <c r="H572" s="1490"/>
      <c r="I572" s="1490"/>
      <c r="J572" s="1490"/>
      <c r="K572" s="1490"/>
      <c r="L572" s="1490"/>
      <c r="O572" s="33" t="s">
        <v>206</v>
      </c>
      <c r="P572" s="1474"/>
      <c r="Q572" s="1474"/>
      <c r="R572" s="1474"/>
      <c r="S572" s="10"/>
      <c r="T572" s="22"/>
      <c r="U572" t="s">
        <v>316</v>
      </c>
      <c r="Z572" s="1490" t="s">
        <v>2715</v>
      </c>
      <c r="AA572" s="1490"/>
      <c r="AB572" s="1490"/>
      <c r="AC572" s="1490"/>
      <c r="AD572" s="1490"/>
      <c r="AE572" s="1490"/>
      <c r="AH572" s="33" t="s">
        <v>206</v>
      </c>
      <c r="AI572" s="1474"/>
      <c r="AJ572" s="1474"/>
      <c r="AK572" s="1474"/>
      <c r="BB572" s="3"/>
      <c r="BC572" s="3"/>
      <c r="BD572" s="3"/>
      <c r="BE572" s="3"/>
      <c r="BF572" s="3"/>
      <c r="BG572" s="3"/>
      <c r="BH572" s="3"/>
      <c r="BI572" s="3"/>
    </row>
    <row r="573" spans="1:61" ht="13" customHeight="1">
      <c r="A573" s="22"/>
      <c r="B573" t="s">
        <v>18</v>
      </c>
      <c r="H573" s="1410" t="s">
        <v>2716</v>
      </c>
      <c r="I573" s="1410"/>
      <c r="J573" s="1410"/>
      <c r="K573" s="1410"/>
      <c r="L573" s="1410"/>
      <c r="M573" s="1410"/>
      <c r="N573" s="1410"/>
      <c r="O573" s="1410"/>
      <c r="P573" s="1410"/>
      <c r="Q573" s="1410"/>
      <c r="R573" s="1410"/>
      <c r="S573" s="8"/>
      <c r="T573" s="22"/>
      <c r="U573" t="s">
        <v>18</v>
      </c>
      <c r="AA573" s="1410" t="s">
        <v>2716</v>
      </c>
      <c r="AB573" s="1410"/>
      <c r="AC573" s="1410"/>
      <c r="AD573" s="1410"/>
      <c r="AE573" s="1410"/>
      <c r="AF573" s="1410"/>
      <c r="AG573" s="1410"/>
      <c r="AH573" s="1410"/>
      <c r="AI573" s="1410"/>
      <c r="AJ573" s="1410"/>
      <c r="AK573" s="1410"/>
      <c r="BB573" s="3"/>
      <c r="BC573" s="3"/>
      <c r="BD573" s="3"/>
      <c r="BE573" s="3"/>
      <c r="BF573" s="3"/>
      <c r="BG573" s="3"/>
      <c r="BH573" s="3"/>
      <c r="BI573" s="3"/>
    </row>
    <row r="574" spans="1:61" ht="13" customHeight="1">
      <c r="A574" s="22"/>
      <c r="B574" s="320" t="s">
        <v>1186</v>
      </c>
      <c r="H574" s="8"/>
      <c r="I574" s="8"/>
      <c r="J574" s="8"/>
      <c r="K574" s="8"/>
      <c r="L574" s="8"/>
      <c r="M574" s="1603" t="s">
        <v>2717</v>
      </c>
      <c r="N574" s="1603"/>
      <c r="O574" s="1603"/>
      <c r="P574" s="1603"/>
      <c r="Q574" s="1603"/>
      <c r="R574" s="1603"/>
      <c r="S574" s="8"/>
      <c r="T574" s="22"/>
      <c r="U574" s="320" t="s">
        <v>1186</v>
      </c>
      <c r="AA574" s="8"/>
      <c r="AB574" s="8"/>
      <c r="AC574" s="8"/>
      <c r="AD574" s="8"/>
      <c r="AE574" s="8"/>
      <c r="AF574" s="1603" t="s">
        <v>2717</v>
      </c>
      <c r="AG574" s="1603"/>
      <c r="AH574" s="1603"/>
      <c r="AI574" s="1603"/>
      <c r="AJ574" s="1603"/>
      <c r="AK574" s="1603"/>
      <c r="BB574" s="3"/>
      <c r="BC574" s="3"/>
      <c r="BD574" s="3"/>
      <c r="BE574" s="3"/>
      <c r="BF574" s="3"/>
      <c r="BG574" s="3"/>
      <c r="BH574" s="3"/>
      <c r="BI574" s="3"/>
    </row>
    <row r="575" spans="1:61" ht="13" customHeight="1">
      <c r="A575" s="22"/>
      <c r="B575" t="s">
        <v>20</v>
      </c>
      <c r="N575" s="1418" t="s">
        <v>546</v>
      </c>
      <c r="O575" s="1418"/>
      <c r="T575" s="22"/>
      <c r="U575" t="s">
        <v>20</v>
      </c>
      <c r="AG575" s="1418" t="s">
        <v>546</v>
      </c>
      <c r="AH575" s="1418"/>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464</v>
      </c>
      <c r="G577" s="1486" t="str">
        <f>C556</f>
        <v>Citibank, N.A.</v>
      </c>
      <c r="H577" s="1486"/>
      <c r="I577" s="1486"/>
      <c r="J577" s="1486"/>
      <c r="K577" s="1486"/>
      <c r="L577" s="1486"/>
      <c r="M577" s="1486"/>
      <c r="N577" s="1486"/>
      <c r="O577" s="1486"/>
      <c r="P577" s="1486"/>
      <c r="Q577" s="1486"/>
      <c r="R577" s="1486"/>
      <c r="T577" s="55" t="s">
        <v>582</v>
      </c>
      <c r="U577" t="s">
        <v>464</v>
      </c>
      <c r="Z577" s="1486" t="str">
        <f>C557</f>
        <v>GP Loan</v>
      </c>
      <c r="AA577" s="1486"/>
      <c r="AB577" s="1486"/>
      <c r="AC577" s="1486"/>
      <c r="AD577" s="1486"/>
      <c r="AE577" s="1486"/>
      <c r="AF577" s="1486"/>
      <c r="AG577" s="1486"/>
      <c r="AH577" s="1486"/>
      <c r="AI577" s="1486"/>
      <c r="AJ577" s="1486"/>
      <c r="AK577" s="1486"/>
      <c r="BB577" s="3"/>
      <c r="BC577" s="3"/>
    </row>
    <row r="578" spans="1:55" ht="13" customHeight="1">
      <c r="A578" s="22"/>
      <c r="B578" t="s">
        <v>85</v>
      </c>
      <c r="G578" s="1410" t="s">
        <v>2712</v>
      </c>
      <c r="H578" s="1410"/>
      <c r="I578" s="1410"/>
      <c r="J578" s="1410"/>
      <c r="K578" s="1410"/>
      <c r="L578" s="1410"/>
      <c r="M578" s="1410"/>
      <c r="N578" s="1410"/>
      <c r="O578" s="1410"/>
      <c r="P578" s="1410"/>
      <c r="Q578" s="1410"/>
      <c r="R578" s="1410"/>
      <c r="T578" s="22"/>
      <c r="U578" t="s">
        <v>85</v>
      </c>
      <c r="Z578" s="1410" t="s">
        <v>2718</v>
      </c>
      <c r="AA578" s="1410"/>
      <c r="AB578" s="1410"/>
      <c r="AC578" s="1410"/>
      <c r="AD578" s="1410"/>
      <c r="AE578" s="1410"/>
      <c r="AF578" s="1410"/>
      <c r="AG578" s="1410"/>
      <c r="AH578" s="1410"/>
      <c r="AI578" s="1410"/>
      <c r="AJ578" s="1410"/>
      <c r="AK578" s="1410"/>
      <c r="BB578" s="3"/>
      <c r="BC578" s="3"/>
    </row>
    <row r="579" spans="1:55" ht="13" customHeight="1">
      <c r="A579" s="22"/>
      <c r="B579" t="s">
        <v>581</v>
      </c>
      <c r="G579" s="1374" t="s">
        <v>2713</v>
      </c>
      <c r="H579" s="1374"/>
      <c r="I579" s="1374"/>
      <c r="J579" s="1374"/>
      <c r="K579" s="1374"/>
      <c r="L579" s="1374"/>
      <c r="M579" s="1374"/>
      <c r="N579" s="1374"/>
      <c r="O579" s="1374"/>
      <c r="P579" s="1374"/>
      <c r="Q579" s="1374"/>
      <c r="R579" s="1374"/>
      <c r="T579" s="22"/>
      <c r="U579" t="s">
        <v>581</v>
      </c>
      <c r="Z579" s="1374" t="s">
        <v>2719</v>
      </c>
      <c r="AA579" s="1374"/>
      <c r="AB579" s="1374"/>
      <c r="AC579" s="1374"/>
      <c r="AD579" s="1374"/>
      <c r="AE579" s="1374"/>
      <c r="AF579" s="1374"/>
      <c r="AG579" s="1374"/>
      <c r="AH579" s="1374"/>
      <c r="AI579" s="1374"/>
      <c r="AJ579" s="1374"/>
      <c r="AK579" s="1374"/>
      <c r="BB579" s="3"/>
      <c r="BC579" s="3"/>
    </row>
    <row r="580" spans="1:55" ht="13" customHeight="1">
      <c r="A580" s="22"/>
      <c r="B580" t="s">
        <v>17</v>
      </c>
      <c r="G580" s="1374" t="s">
        <v>2714</v>
      </c>
      <c r="H580" s="1374"/>
      <c r="I580" s="1374"/>
      <c r="J580" s="1374"/>
      <c r="K580" s="1374"/>
      <c r="L580" s="1374"/>
      <c r="M580" s="1374"/>
      <c r="N580" s="1374"/>
      <c r="O580" s="1374"/>
      <c r="P580" s="1374"/>
      <c r="Q580" s="1374"/>
      <c r="R580" s="1374"/>
      <c r="T580" s="22"/>
      <c r="U580" t="s">
        <v>17</v>
      </c>
      <c r="Z580" s="1374" t="s">
        <v>2633</v>
      </c>
      <c r="AA580" s="1374"/>
      <c r="AB580" s="1374"/>
      <c r="AC580" s="1374"/>
      <c r="AD580" s="1374"/>
      <c r="AE580" s="1374"/>
      <c r="AF580" s="1374"/>
      <c r="AG580" s="1374"/>
      <c r="AH580" s="1374"/>
      <c r="AI580" s="1374"/>
      <c r="AJ580" s="1374"/>
      <c r="AK580" s="1374"/>
      <c r="BB580" s="3"/>
      <c r="BC580" s="3"/>
    </row>
    <row r="581" spans="1:55" ht="13" customHeight="1">
      <c r="A581" s="22"/>
      <c r="B581" t="s">
        <v>316</v>
      </c>
      <c r="G581" s="1490" t="s">
        <v>2715</v>
      </c>
      <c r="H581" s="1490"/>
      <c r="I581" s="1490"/>
      <c r="J581" s="1490"/>
      <c r="K581" s="1490"/>
      <c r="L581" s="1490"/>
      <c r="O581" s="33" t="s">
        <v>206</v>
      </c>
      <c r="P581" s="1474"/>
      <c r="Q581" s="1474"/>
      <c r="R581" s="1474"/>
      <c r="T581" s="22"/>
      <c r="U581" t="s">
        <v>316</v>
      </c>
      <c r="Z581" s="1520" t="s">
        <v>2634</v>
      </c>
      <c r="AA581" s="1490"/>
      <c r="AB581" s="1490"/>
      <c r="AC581" s="1490"/>
      <c r="AD581" s="1490"/>
      <c r="AE581" s="1490"/>
      <c r="AH581" s="33" t="s">
        <v>206</v>
      </c>
      <c r="AI581" s="1474"/>
      <c r="AJ581" s="1474"/>
      <c r="AK581" s="1474"/>
      <c r="BB581" s="3"/>
      <c r="BC581" s="3"/>
    </row>
    <row r="582" spans="1:55" ht="13" customHeight="1">
      <c r="A582" s="22"/>
      <c r="B582" t="s">
        <v>18</v>
      </c>
      <c r="H582" s="1410" t="s">
        <v>2716</v>
      </c>
      <c r="I582" s="1410"/>
      <c r="J582" s="1410"/>
      <c r="K582" s="1410"/>
      <c r="L582" s="1410"/>
      <c r="M582" s="1410"/>
      <c r="N582" s="1410"/>
      <c r="O582" s="1410"/>
      <c r="P582" s="1410"/>
      <c r="Q582" s="1410"/>
      <c r="R582" s="1410"/>
      <c r="T582" s="22"/>
      <c r="U582" t="s">
        <v>18</v>
      </c>
      <c r="AA582" s="1410" t="s">
        <v>2716</v>
      </c>
      <c r="AB582" s="1410"/>
      <c r="AC582" s="1410"/>
      <c r="AD582" s="1410"/>
      <c r="AE582" s="1410"/>
      <c r="AF582" s="1410"/>
      <c r="AG582" s="1410"/>
      <c r="AH582" s="1410"/>
      <c r="AI582" s="1410"/>
      <c r="AJ582" s="1410"/>
      <c r="AK582" s="1410"/>
      <c r="BB582" s="3"/>
      <c r="BC582" s="3"/>
    </row>
    <row r="583" spans="1:55" ht="13" customHeight="1">
      <c r="A583" s="22"/>
      <c r="B583" t="s">
        <v>20</v>
      </c>
      <c r="N583" s="1418" t="s">
        <v>546</v>
      </c>
      <c r="O583" s="1418"/>
      <c r="T583" s="22"/>
      <c r="U583" t="s">
        <v>20</v>
      </c>
      <c r="AG583" s="1418" t="s">
        <v>546</v>
      </c>
      <c r="AH583" s="1418"/>
      <c r="BB583" s="3"/>
      <c r="BC583" s="3"/>
    </row>
    <row r="584" spans="1:55" ht="13" customHeight="1">
      <c r="A584" s="22"/>
      <c r="T584" s="22"/>
      <c r="BB584" s="3"/>
      <c r="BC584" s="3"/>
    </row>
    <row r="585" spans="1:55" ht="13" customHeight="1">
      <c r="A585" s="55" t="s">
        <v>764</v>
      </c>
      <c r="B585" t="s">
        <v>464</v>
      </c>
      <c r="G585" s="1486" t="str">
        <f>C558</f>
        <v>Accrued Soft Interest</v>
      </c>
      <c r="H585" s="1486"/>
      <c r="I585" s="1486"/>
      <c r="J585" s="1486"/>
      <c r="K585" s="1486"/>
      <c r="L585" s="1486"/>
      <c r="M585" s="1486"/>
      <c r="N585" s="1486"/>
      <c r="O585" s="1486"/>
      <c r="P585" s="1486"/>
      <c r="Q585" s="1486"/>
      <c r="R585" s="1486"/>
      <c r="T585" s="55" t="s">
        <v>585</v>
      </c>
      <c r="U585" t="s">
        <v>464</v>
      </c>
      <c r="Z585" s="1486" t="str">
        <f>C559</f>
        <v>The Richman Group</v>
      </c>
      <c r="AA585" s="1486"/>
      <c r="AB585" s="1486"/>
      <c r="AC585" s="1486"/>
      <c r="AD585" s="1486"/>
      <c r="AE585" s="1486"/>
      <c r="AF585" s="1486"/>
      <c r="AG585" s="1486"/>
      <c r="AH585" s="1486"/>
      <c r="AI585" s="1486"/>
      <c r="AJ585" s="1486"/>
      <c r="AK585" s="1486"/>
      <c r="BB585" s="3"/>
      <c r="BC585" s="3"/>
    </row>
    <row r="586" spans="1:55" ht="13" customHeight="1">
      <c r="A586" s="22"/>
      <c r="B586" t="s">
        <v>85</v>
      </c>
      <c r="G586" s="1410" t="s">
        <v>2718</v>
      </c>
      <c r="H586" s="1410"/>
      <c r="I586" s="1410"/>
      <c r="J586" s="1410"/>
      <c r="K586" s="1410"/>
      <c r="L586" s="1410"/>
      <c r="M586" s="1410"/>
      <c r="N586" s="1410"/>
      <c r="O586" s="1410"/>
      <c r="P586" s="1410"/>
      <c r="Q586" s="1410"/>
      <c r="R586" s="1410"/>
      <c r="T586" s="22"/>
      <c r="U586" t="s">
        <v>85</v>
      </c>
      <c r="Z586" s="1410" t="s">
        <v>2665</v>
      </c>
      <c r="AA586" s="1410"/>
      <c r="AB586" s="1410"/>
      <c r="AC586" s="1410"/>
      <c r="AD586" s="1410"/>
      <c r="AE586" s="1410"/>
      <c r="AF586" s="1410"/>
      <c r="AG586" s="1410"/>
      <c r="AH586" s="1410"/>
      <c r="AI586" s="1410"/>
      <c r="AJ586" s="1410"/>
      <c r="AK586" s="1410"/>
      <c r="BB586" s="3"/>
      <c r="BC586" s="3"/>
    </row>
    <row r="587" spans="1:55" ht="13" customHeight="1">
      <c r="A587" s="22"/>
      <c r="B587" t="s">
        <v>581</v>
      </c>
      <c r="G587" s="1410" t="s">
        <v>2719</v>
      </c>
      <c r="H587" s="1410"/>
      <c r="I587" s="1410"/>
      <c r="J587" s="1410"/>
      <c r="K587" s="1410"/>
      <c r="L587" s="1410"/>
      <c r="M587" s="1410"/>
      <c r="N587" s="1410"/>
      <c r="O587" s="1410"/>
      <c r="P587" s="1410"/>
      <c r="Q587" s="1410"/>
      <c r="R587" s="1410"/>
      <c r="T587" s="22"/>
      <c r="U587" t="s">
        <v>581</v>
      </c>
      <c r="Z587" s="1374" t="s">
        <v>2666</v>
      </c>
      <c r="AA587" s="1374"/>
      <c r="AB587" s="1374"/>
      <c r="AC587" s="1374"/>
      <c r="AD587" s="1374"/>
      <c r="AE587" s="1374"/>
      <c r="AF587" s="1374"/>
      <c r="AG587" s="1374"/>
      <c r="AH587" s="1374"/>
      <c r="AI587" s="1374"/>
      <c r="AJ587" s="1374"/>
      <c r="AK587" s="1374"/>
      <c r="BB587" s="3"/>
      <c r="BC587" s="3"/>
    </row>
    <row r="588" spans="1:55" ht="13" customHeight="1">
      <c r="A588" s="22"/>
      <c r="B588" t="s">
        <v>17</v>
      </c>
      <c r="G588" s="1410" t="s">
        <v>2633</v>
      </c>
      <c r="H588" s="1410"/>
      <c r="I588" s="1410"/>
      <c r="J588" s="1410"/>
      <c r="K588" s="1410"/>
      <c r="L588" s="1410"/>
      <c r="M588" s="1410"/>
      <c r="N588" s="1410"/>
      <c r="O588" s="1410"/>
      <c r="P588" s="1410"/>
      <c r="Q588" s="1410"/>
      <c r="R588" s="1410"/>
      <c r="T588" s="22"/>
      <c r="U588" t="s">
        <v>17</v>
      </c>
      <c r="Z588" s="1374" t="s">
        <v>2667</v>
      </c>
      <c r="AA588" s="1374"/>
      <c r="AB588" s="1374"/>
      <c r="AC588" s="1374"/>
      <c r="AD588" s="1374"/>
      <c r="AE588" s="1374"/>
      <c r="AF588" s="1374"/>
      <c r="AG588" s="1374"/>
      <c r="AH588" s="1374"/>
      <c r="AI588" s="1374"/>
      <c r="AJ588" s="1374"/>
      <c r="AK588" s="1374"/>
    </row>
    <row r="589" spans="1:55" ht="13" customHeight="1">
      <c r="A589" s="22"/>
      <c r="B589" t="s">
        <v>316</v>
      </c>
      <c r="G589" s="1490" t="s">
        <v>2634</v>
      </c>
      <c r="H589" s="1490"/>
      <c r="I589" s="1490"/>
      <c r="J589" s="1490"/>
      <c r="K589" s="1490"/>
      <c r="L589" s="1490"/>
      <c r="O589" s="33" t="s">
        <v>206</v>
      </c>
      <c r="P589" s="1474"/>
      <c r="Q589" s="1474"/>
      <c r="R589" s="1474"/>
      <c r="T589" s="22"/>
      <c r="U589" t="s">
        <v>316</v>
      </c>
      <c r="Z589" s="1520" t="s">
        <v>2668</v>
      </c>
      <c r="AA589" s="1490"/>
      <c r="AB589" s="1490"/>
      <c r="AC589" s="1490"/>
      <c r="AD589" s="1490"/>
      <c r="AE589" s="1490"/>
      <c r="AH589" s="33" t="s">
        <v>206</v>
      </c>
      <c r="AI589" s="1474"/>
      <c r="AJ589" s="1474"/>
      <c r="AK589" s="1474"/>
      <c r="AZ589" s="3"/>
      <c r="BA589" s="3"/>
      <c r="BB589" s="3"/>
      <c r="BC589" s="3"/>
    </row>
    <row r="590" spans="1:55" ht="13" customHeight="1">
      <c r="A590" s="22"/>
      <c r="B590" t="s">
        <v>18</v>
      </c>
      <c r="H590" s="1410" t="s">
        <v>2716</v>
      </c>
      <c r="I590" s="1410"/>
      <c r="J590" s="1410"/>
      <c r="K590" s="1410"/>
      <c r="L590" s="1410"/>
      <c r="M590" s="1410"/>
      <c r="N590" s="1410"/>
      <c r="O590" s="1410"/>
      <c r="P590" s="1410"/>
      <c r="Q590" s="1410"/>
      <c r="R590" s="1410"/>
      <c r="T590" s="22"/>
      <c r="U590" t="s">
        <v>18</v>
      </c>
      <c r="AA590" s="1410" t="s">
        <v>2720</v>
      </c>
      <c r="AB590" s="1410"/>
      <c r="AC590" s="1410"/>
      <c r="AD590" s="1410"/>
      <c r="AE590" s="1410"/>
      <c r="AF590" s="1410"/>
      <c r="AG590" s="1410"/>
      <c r="AH590" s="1410"/>
      <c r="AI590" s="1410"/>
      <c r="AJ590" s="1410"/>
      <c r="AK590" s="1410"/>
      <c r="AZ590" s="3"/>
      <c r="BA590" s="3"/>
      <c r="BB590" s="3"/>
      <c r="BC590" s="3"/>
    </row>
    <row r="591" spans="1:55" ht="13" customHeight="1">
      <c r="A591" s="22"/>
      <c r="B591" t="s">
        <v>20</v>
      </c>
      <c r="N591" s="1418" t="s">
        <v>546</v>
      </c>
      <c r="O591" s="1418"/>
      <c r="T591" s="22"/>
      <c r="U591" t="s">
        <v>20</v>
      </c>
      <c r="AG591" s="1418" t="s">
        <v>546</v>
      </c>
      <c r="AH591" s="1418"/>
      <c r="AZ591" s="3"/>
      <c r="BA591" s="3"/>
      <c r="BB591" s="3"/>
      <c r="BC591" s="3"/>
    </row>
    <row r="592" spans="1:55" ht="13" customHeight="1">
      <c r="A592" s="22"/>
      <c r="T592" s="22"/>
      <c r="AZ592" s="3"/>
      <c r="BA592" s="3"/>
      <c r="BB592" s="3"/>
      <c r="BC592" s="3"/>
    </row>
    <row r="593" spans="1:55" ht="13" customHeight="1">
      <c r="A593" s="55" t="s">
        <v>456</v>
      </c>
      <c r="B593" t="s">
        <v>464</v>
      </c>
      <c r="G593" s="1486" t="str">
        <f>C560</f>
        <v>Deferred Costs</v>
      </c>
      <c r="H593" s="1486"/>
      <c r="I593" s="1486"/>
      <c r="J593" s="1486"/>
      <c r="K593" s="1486"/>
      <c r="L593" s="1486"/>
      <c r="M593" s="1486"/>
      <c r="N593" s="1486"/>
      <c r="O593" s="1486"/>
      <c r="P593" s="1486"/>
      <c r="Q593" s="1486"/>
      <c r="R593" s="1486"/>
      <c r="T593" s="55" t="s">
        <v>457</v>
      </c>
      <c r="U593" t="s">
        <v>464</v>
      </c>
      <c r="Z593" s="1486">
        <f>C561</f>
        <v>0</v>
      </c>
      <c r="AA593" s="1486"/>
      <c r="AB593" s="1486"/>
      <c r="AC593" s="1486"/>
      <c r="AD593" s="1486"/>
      <c r="AE593" s="1486"/>
      <c r="AF593" s="1486"/>
      <c r="AG593" s="1486"/>
      <c r="AH593" s="1486"/>
      <c r="AI593" s="1486"/>
      <c r="AJ593" s="1486"/>
      <c r="AK593" s="1486"/>
      <c r="AZ593" s="3"/>
      <c r="BA593" s="3"/>
      <c r="BB593" s="3"/>
      <c r="BC593" s="3"/>
    </row>
    <row r="594" spans="1:55" s="4" customFormat="1" ht="13" customHeight="1">
      <c r="A594" s="22"/>
      <c r="B594" t="s">
        <v>85</v>
      </c>
      <c r="C594"/>
      <c r="D594"/>
      <c r="E594"/>
      <c r="F594"/>
      <c r="G594" s="1410" t="s">
        <v>2622</v>
      </c>
      <c r="H594" s="1410"/>
      <c r="I594" s="1410"/>
      <c r="J594" s="1410"/>
      <c r="K594" s="1410"/>
      <c r="L594" s="1410"/>
      <c r="M594" s="1410"/>
      <c r="N594" s="1410"/>
      <c r="O594" s="1410"/>
      <c r="P594" s="1410"/>
      <c r="Q594" s="1410"/>
      <c r="R594" s="1410"/>
      <c r="S594"/>
      <c r="T594" s="22"/>
      <c r="U594" t="s">
        <v>85</v>
      </c>
      <c r="V594"/>
      <c r="W594"/>
      <c r="X594"/>
      <c r="Y594"/>
      <c r="Z594" s="1410"/>
      <c r="AA594" s="1410"/>
      <c r="AB594" s="1410"/>
      <c r="AC594" s="1410"/>
      <c r="AD594" s="1410"/>
      <c r="AE594" s="1410"/>
      <c r="AF594" s="1410"/>
      <c r="AG594" s="1410"/>
      <c r="AH594" s="1410"/>
      <c r="AI594" s="1410"/>
      <c r="AJ594" s="1410"/>
      <c r="AK594" s="1410"/>
      <c r="AL594"/>
      <c r="AM594"/>
      <c r="AN594"/>
      <c r="AO594"/>
      <c r="AP594"/>
      <c r="AQ594"/>
      <c r="AR594"/>
      <c r="AS594"/>
      <c r="AT594"/>
      <c r="AU594"/>
      <c r="AV594"/>
      <c r="AW594"/>
      <c r="AX594"/>
      <c r="AY594"/>
      <c r="AZ594" s="3"/>
      <c r="BA594" s="3"/>
      <c r="BB594" s="3"/>
      <c r="BC594" s="3"/>
    </row>
    <row r="595" spans="1:55" s="4" customFormat="1" ht="13" customHeight="1">
      <c r="A595" s="22"/>
      <c r="B595" t="s">
        <v>581</v>
      </c>
      <c r="C595"/>
      <c r="D595"/>
      <c r="E595"/>
      <c r="F595"/>
      <c r="G595" s="1410" t="s">
        <v>2721</v>
      </c>
      <c r="H595" s="1410"/>
      <c r="I595" s="1410"/>
      <c r="J595" s="1410"/>
      <c r="K595" s="1410"/>
      <c r="L595" s="1410"/>
      <c r="M595" s="1410"/>
      <c r="N595" s="1410"/>
      <c r="O595" s="1410"/>
      <c r="P595" s="1410"/>
      <c r="Q595" s="1410"/>
      <c r="R595" s="1410"/>
      <c r="S595"/>
      <c r="T595" s="22"/>
      <c r="U595" t="s">
        <v>581</v>
      </c>
      <c r="V595"/>
      <c r="W595"/>
      <c r="X595"/>
      <c r="Y595"/>
      <c r="Z595" s="1374"/>
      <c r="AA595" s="1374"/>
      <c r="AB595" s="1374"/>
      <c r="AC595" s="1374"/>
      <c r="AD595" s="1374"/>
      <c r="AE595" s="1374"/>
      <c r="AF595" s="1374"/>
      <c r="AG595" s="1374"/>
      <c r="AH595" s="1374"/>
      <c r="AI595" s="1374"/>
      <c r="AJ595" s="1374"/>
      <c r="AK595" s="1374"/>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10" t="s">
        <v>2625</v>
      </c>
      <c r="H596" s="1410"/>
      <c r="I596" s="1410"/>
      <c r="J596" s="1410"/>
      <c r="K596" s="1410"/>
      <c r="L596" s="1410"/>
      <c r="M596" s="1410"/>
      <c r="N596" s="1410"/>
      <c r="O596" s="1410"/>
      <c r="P596" s="1410"/>
      <c r="Q596" s="1410"/>
      <c r="R596" s="1410"/>
      <c r="S596"/>
      <c r="T596" s="22"/>
      <c r="U596" t="s">
        <v>17</v>
      </c>
      <c r="V596"/>
      <c r="W596"/>
      <c r="X596"/>
      <c r="Y596"/>
      <c r="Z596" s="1374"/>
      <c r="AA596" s="1374"/>
      <c r="AB596" s="1374"/>
      <c r="AC596" s="1374"/>
      <c r="AD596" s="1374"/>
      <c r="AE596" s="1374"/>
      <c r="AF596" s="1374"/>
      <c r="AG596" s="1374"/>
      <c r="AH596" s="1374"/>
      <c r="AI596" s="1374"/>
      <c r="AJ596" s="1374"/>
      <c r="AK596" s="1374"/>
      <c r="AL596"/>
      <c r="AM596"/>
      <c r="AN596"/>
      <c r="AO596"/>
      <c r="AP596"/>
      <c r="AQ596"/>
      <c r="AR596"/>
      <c r="AS596"/>
      <c r="AT596"/>
      <c r="AU596"/>
      <c r="AV596"/>
      <c r="AW596"/>
      <c r="AX596"/>
      <c r="AY596"/>
      <c r="BB596" s="3"/>
      <c r="BC596" s="3"/>
    </row>
    <row r="597" spans="1:55" s="4" customFormat="1" ht="13" customHeight="1">
      <c r="A597" s="22"/>
      <c r="B597" t="s">
        <v>316</v>
      </c>
      <c r="C597"/>
      <c r="D597"/>
      <c r="E597"/>
      <c r="F597"/>
      <c r="G597" s="1520" t="s">
        <v>2626</v>
      </c>
      <c r="H597" s="1490"/>
      <c r="I597" s="1490"/>
      <c r="J597" s="1490"/>
      <c r="K597" s="1490"/>
      <c r="L597" s="1490"/>
      <c r="M597"/>
      <c r="N597"/>
      <c r="O597" s="33" t="s">
        <v>206</v>
      </c>
      <c r="P597" s="1474"/>
      <c r="Q597" s="1474"/>
      <c r="R597" s="1474"/>
      <c r="S597"/>
      <c r="T597" s="22"/>
      <c r="U597" t="s">
        <v>316</v>
      </c>
      <c r="V597"/>
      <c r="W597"/>
      <c r="X597"/>
      <c r="Y597"/>
      <c r="Z597" s="1490"/>
      <c r="AA597" s="1490"/>
      <c r="AB597" s="1490"/>
      <c r="AC597" s="1490"/>
      <c r="AD597" s="1490"/>
      <c r="AE597" s="1490"/>
      <c r="AF597"/>
      <c r="AG597"/>
      <c r="AH597" s="33" t="s">
        <v>206</v>
      </c>
      <c r="AI597" s="1474"/>
      <c r="AJ597" s="1474"/>
      <c r="AK597" s="1474"/>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10" t="s">
        <v>2722</v>
      </c>
      <c r="I598" s="1410"/>
      <c r="J598" s="1410"/>
      <c r="K598" s="1410"/>
      <c r="L598" s="1410"/>
      <c r="M598" s="1410"/>
      <c r="N598" s="1410"/>
      <c r="O598" s="1410"/>
      <c r="P598" s="1410"/>
      <c r="Q598" s="1410"/>
      <c r="R598" s="1410"/>
      <c r="S598"/>
      <c r="T598" s="22"/>
      <c r="U598" t="s">
        <v>18</v>
      </c>
      <c r="V598"/>
      <c r="W598"/>
      <c r="X598"/>
      <c r="Y598"/>
      <c r="Z598"/>
      <c r="AA598" s="1410"/>
      <c r="AB598" s="1410"/>
      <c r="AC598" s="1410"/>
      <c r="AD598" s="1410"/>
      <c r="AE598" s="1410"/>
      <c r="AF598" s="1410"/>
      <c r="AG598" s="1410"/>
      <c r="AH598" s="1410"/>
      <c r="AI598" s="1410"/>
      <c r="AJ598" s="1410"/>
      <c r="AK598" s="1410"/>
      <c r="AL598"/>
      <c r="AM598"/>
      <c r="AN598"/>
      <c r="AO598"/>
      <c r="AP598"/>
      <c r="AQ598"/>
      <c r="AR598"/>
      <c r="AS598"/>
      <c r="AT598"/>
      <c r="AU598"/>
      <c r="AV598"/>
      <c r="AW598"/>
      <c r="AX598"/>
      <c r="AY598"/>
      <c r="BB598" s="3"/>
      <c r="BC598" s="3"/>
    </row>
    <row r="599" spans="1:55" ht="13" customHeight="1">
      <c r="A599" s="22"/>
      <c r="B599" t="s">
        <v>20</v>
      </c>
      <c r="N599" s="1418" t="s">
        <v>546</v>
      </c>
      <c r="O599" s="1418"/>
      <c r="T599" s="22"/>
      <c r="U599" t="s">
        <v>20</v>
      </c>
      <c r="AG599" s="1418" t="s">
        <v>670</v>
      </c>
      <c r="AH599" s="1418"/>
      <c r="BB599" s="3"/>
      <c r="BC599" s="3"/>
    </row>
    <row r="600" spans="1:55" ht="13" customHeight="1">
      <c r="A600" s="22"/>
      <c r="T600" s="22"/>
      <c r="BB600" s="3"/>
      <c r="BC600" s="3"/>
    </row>
    <row r="601" spans="1:55" ht="13" customHeight="1">
      <c r="A601" s="55" t="s">
        <v>462</v>
      </c>
      <c r="B601" t="s">
        <v>464</v>
      </c>
      <c r="G601" s="1486">
        <f>C562</f>
        <v>0</v>
      </c>
      <c r="H601" s="1486"/>
      <c r="I601" s="1486"/>
      <c r="J601" s="1486"/>
      <c r="K601" s="1486"/>
      <c r="L601" s="1486"/>
      <c r="M601" s="1486"/>
      <c r="N601" s="1486"/>
      <c r="O601" s="1486"/>
      <c r="P601" s="1486"/>
      <c r="Q601" s="1486"/>
      <c r="R601" s="1486"/>
      <c r="T601" s="55" t="s">
        <v>647</v>
      </c>
      <c r="U601" t="s">
        <v>464</v>
      </c>
      <c r="Z601" s="1486">
        <f>C563</f>
        <v>0</v>
      </c>
      <c r="AA601" s="1486"/>
      <c r="AB601" s="1486"/>
      <c r="AC601" s="1486"/>
      <c r="AD601" s="1486"/>
      <c r="AE601" s="1486"/>
      <c r="AF601" s="1486"/>
      <c r="AG601" s="1486"/>
      <c r="AH601" s="1486"/>
      <c r="AI601" s="1486"/>
      <c r="AJ601" s="1486"/>
      <c r="AK601" s="1486"/>
      <c r="BB601" s="3"/>
      <c r="BC601" s="3"/>
    </row>
    <row r="602" spans="1:55" ht="13" customHeight="1">
      <c r="A602" s="22"/>
      <c r="B602" t="s">
        <v>85</v>
      </c>
      <c r="G602" s="1410"/>
      <c r="H602" s="1410"/>
      <c r="I602" s="1410"/>
      <c r="J602" s="1410"/>
      <c r="K602" s="1410"/>
      <c r="L602" s="1410"/>
      <c r="M602" s="1410"/>
      <c r="N602" s="1410"/>
      <c r="O602" s="1410"/>
      <c r="P602" s="1410"/>
      <c r="Q602" s="1410"/>
      <c r="R602" s="1410"/>
      <c r="T602" s="22"/>
      <c r="U602" t="s">
        <v>85</v>
      </c>
      <c r="Z602" s="1410"/>
      <c r="AA602" s="1410"/>
      <c r="AB602" s="1410"/>
      <c r="AC602" s="1410"/>
      <c r="AD602" s="1410"/>
      <c r="AE602" s="1410"/>
      <c r="AF602" s="1410"/>
      <c r="AG602" s="1410"/>
      <c r="AH602" s="1410"/>
      <c r="AI602" s="1410"/>
      <c r="AJ602" s="1410"/>
      <c r="AK602" s="1410"/>
      <c r="AZ602" s="3"/>
      <c r="BA602" s="3"/>
      <c r="BB602" s="3"/>
      <c r="BC602" s="3"/>
    </row>
    <row r="603" spans="1:55" ht="13" customHeight="1">
      <c r="A603" s="22"/>
      <c r="B603" t="s">
        <v>581</v>
      </c>
      <c r="G603" s="1410"/>
      <c r="H603" s="1410"/>
      <c r="I603" s="1410"/>
      <c r="J603" s="1410"/>
      <c r="K603" s="1410"/>
      <c r="L603" s="1410"/>
      <c r="M603" s="1410"/>
      <c r="N603" s="1410"/>
      <c r="O603" s="1410"/>
      <c r="P603" s="1410"/>
      <c r="Q603" s="1410"/>
      <c r="R603" s="1410"/>
      <c r="T603" s="22"/>
      <c r="U603" t="s">
        <v>581</v>
      </c>
      <c r="Z603" s="1374"/>
      <c r="AA603" s="1374"/>
      <c r="AB603" s="1374"/>
      <c r="AC603" s="1374"/>
      <c r="AD603" s="1374"/>
      <c r="AE603" s="1374"/>
      <c r="AF603" s="1374"/>
      <c r="AG603" s="1374"/>
      <c r="AH603" s="1374"/>
      <c r="AI603" s="1374"/>
      <c r="AJ603" s="1374"/>
      <c r="AK603" s="1374"/>
      <c r="AZ603" s="3"/>
      <c r="BA603" s="3"/>
      <c r="BB603" s="3"/>
      <c r="BC603" s="3"/>
    </row>
    <row r="604" spans="1:55" ht="13" customHeight="1">
      <c r="A604" s="22"/>
      <c r="B604" t="s">
        <v>17</v>
      </c>
      <c r="G604" s="1410"/>
      <c r="H604" s="1410"/>
      <c r="I604" s="1410"/>
      <c r="J604" s="1410"/>
      <c r="K604" s="1410"/>
      <c r="L604" s="1410"/>
      <c r="M604" s="1410"/>
      <c r="N604" s="1410"/>
      <c r="O604" s="1410"/>
      <c r="P604" s="1410"/>
      <c r="Q604" s="1410"/>
      <c r="R604" s="1410"/>
      <c r="T604" s="22"/>
      <c r="U604" t="s">
        <v>17</v>
      </c>
      <c r="Z604" s="1374"/>
      <c r="AA604" s="1374"/>
      <c r="AB604" s="1374"/>
      <c r="AC604" s="1374"/>
      <c r="AD604" s="1374"/>
      <c r="AE604" s="1374"/>
      <c r="AF604" s="1374"/>
      <c r="AG604" s="1374"/>
      <c r="AH604" s="1374"/>
      <c r="AI604" s="1374"/>
      <c r="AJ604" s="1374"/>
      <c r="AK604" s="1374"/>
      <c r="AZ604" s="3"/>
      <c r="BA604" s="3"/>
      <c r="BB604" s="3"/>
      <c r="BC604" s="3"/>
    </row>
    <row r="605" spans="1:55" s="4" customFormat="1" ht="13" customHeight="1">
      <c r="A605" s="22"/>
      <c r="B605" t="s">
        <v>316</v>
      </c>
      <c r="C605"/>
      <c r="D605"/>
      <c r="E605"/>
      <c r="F605"/>
      <c r="G605" s="1490"/>
      <c r="H605" s="1490"/>
      <c r="I605" s="1490"/>
      <c r="J605" s="1490"/>
      <c r="K605" s="1490"/>
      <c r="L605" s="1490"/>
      <c r="M605"/>
      <c r="N605"/>
      <c r="O605" s="33" t="s">
        <v>206</v>
      </c>
      <c r="P605" s="1474"/>
      <c r="Q605" s="1474"/>
      <c r="R605" s="1474"/>
      <c r="S605"/>
      <c r="T605" s="22"/>
      <c r="U605" t="s">
        <v>316</v>
      </c>
      <c r="V605"/>
      <c r="W605"/>
      <c r="X605"/>
      <c r="Y605"/>
      <c r="Z605" s="1490"/>
      <c r="AA605" s="1490"/>
      <c r="AB605" s="1490"/>
      <c r="AC605" s="1490"/>
      <c r="AD605" s="1490"/>
      <c r="AE605" s="1490"/>
      <c r="AF605"/>
      <c r="AG605"/>
      <c r="AH605" s="33" t="s">
        <v>206</v>
      </c>
      <c r="AI605" s="1474"/>
      <c r="AJ605" s="1474"/>
      <c r="AK605" s="1474"/>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10"/>
      <c r="I606" s="1410"/>
      <c r="J606" s="1410"/>
      <c r="K606" s="1410"/>
      <c r="L606" s="1410"/>
      <c r="M606" s="1410"/>
      <c r="N606" s="1410"/>
      <c r="O606" s="1410"/>
      <c r="P606" s="1410"/>
      <c r="Q606" s="1410"/>
      <c r="R606" s="1410"/>
      <c r="S606"/>
      <c r="T606" s="22"/>
      <c r="U606" t="s">
        <v>18</v>
      </c>
      <c r="V606"/>
      <c r="W606"/>
      <c r="X606"/>
      <c r="Y606"/>
      <c r="Z606"/>
      <c r="AA606" s="1410"/>
      <c r="AB606" s="1410"/>
      <c r="AC606" s="1410"/>
      <c r="AD606" s="1410"/>
      <c r="AE606" s="1410"/>
      <c r="AF606" s="1410"/>
      <c r="AG606" s="1410"/>
      <c r="AH606" s="1410"/>
      <c r="AI606" s="1410"/>
      <c r="AJ606" s="1410"/>
      <c r="AK606" s="1410"/>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8" t="s">
        <v>670</v>
      </c>
      <c r="O607" s="1418"/>
      <c r="P607"/>
      <c r="Q607"/>
      <c r="R607"/>
      <c r="S607"/>
      <c r="T607" s="22"/>
      <c r="U607" t="s">
        <v>20</v>
      </c>
      <c r="V607"/>
      <c r="W607"/>
      <c r="X607"/>
      <c r="Y607"/>
      <c r="Z607"/>
      <c r="AA607"/>
      <c r="AB607"/>
      <c r="AC607"/>
      <c r="AD607"/>
      <c r="AE607"/>
      <c r="AF607"/>
      <c r="AG607" s="1418" t="s">
        <v>670</v>
      </c>
      <c r="AH607" s="1418"/>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362</v>
      </c>
      <c r="B609" t="s">
        <v>464</v>
      </c>
      <c r="G609" s="1486">
        <f>C564</f>
        <v>0</v>
      </c>
      <c r="H609" s="1486"/>
      <c r="I609" s="1486"/>
      <c r="J609" s="1486"/>
      <c r="K609" s="1486"/>
      <c r="L609" s="1486"/>
      <c r="M609" s="1486"/>
      <c r="N609" s="1486"/>
      <c r="O609" s="1486"/>
      <c r="P609" s="1486"/>
      <c r="Q609" s="1486"/>
      <c r="R609" s="1486"/>
      <c r="T609" s="55" t="s">
        <v>363</v>
      </c>
      <c r="U609" t="s">
        <v>464</v>
      </c>
      <c r="Z609" s="1486">
        <f>C565</f>
        <v>0</v>
      </c>
      <c r="AA609" s="1486"/>
      <c r="AB609" s="1486"/>
      <c r="AC609" s="1486"/>
      <c r="AD609" s="1486"/>
      <c r="AE609" s="1486"/>
      <c r="AF609" s="1486"/>
      <c r="AG609" s="1486"/>
      <c r="AH609" s="1486"/>
      <c r="AI609" s="1486"/>
      <c r="AJ609" s="1486"/>
      <c r="AK609" s="1486"/>
      <c r="AZ609" s="3"/>
      <c r="BA609" s="3"/>
      <c r="BB609" s="3"/>
      <c r="BC609" s="3"/>
    </row>
    <row r="610" spans="1:55" ht="13" customHeight="1">
      <c r="B610" t="s">
        <v>85</v>
      </c>
      <c r="G610" s="1410"/>
      <c r="H610" s="1410"/>
      <c r="I610" s="1410"/>
      <c r="J610" s="1410"/>
      <c r="K610" s="1410"/>
      <c r="L610" s="1410"/>
      <c r="M610" s="1410"/>
      <c r="N610" s="1410"/>
      <c r="O610" s="1410"/>
      <c r="P610" s="1410"/>
      <c r="Q610" s="1410"/>
      <c r="R610" s="1410"/>
      <c r="U610" t="s">
        <v>85</v>
      </c>
      <c r="Z610" s="1410"/>
      <c r="AA610" s="1410"/>
      <c r="AB610" s="1410"/>
      <c r="AC610" s="1410"/>
      <c r="AD610" s="1410"/>
      <c r="AE610" s="1410"/>
      <c r="AF610" s="1410"/>
      <c r="AG610" s="1410"/>
      <c r="AH610" s="1410"/>
      <c r="AI610" s="1410"/>
      <c r="AJ610" s="1410"/>
      <c r="AK610" s="1410"/>
      <c r="AZ610" s="3"/>
      <c r="BA610" s="3"/>
      <c r="BB610" s="3"/>
      <c r="BC610" s="3"/>
    </row>
    <row r="611" spans="1:55" ht="13" customHeight="1">
      <c r="B611" t="s">
        <v>581</v>
      </c>
      <c r="G611" s="1410"/>
      <c r="H611" s="1410"/>
      <c r="I611" s="1410"/>
      <c r="J611" s="1410"/>
      <c r="K611" s="1410"/>
      <c r="L611" s="1410"/>
      <c r="M611" s="1410"/>
      <c r="N611" s="1410"/>
      <c r="O611" s="1410"/>
      <c r="P611" s="1410"/>
      <c r="Q611" s="1410"/>
      <c r="R611" s="1410"/>
      <c r="U611" t="s">
        <v>581</v>
      </c>
      <c r="Z611" s="1374"/>
      <c r="AA611" s="1374"/>
      <c r="AB611" s="1374"/>
      <c r="AC611" s="1374"/>
      <c r="AD611" s="1374"/>
      <c r="AE611" s="1374"/>
      <c r="AF611" s="1374"/>
      <c r="AG611" s="1374"/>
      <c r="AH611" s="1374"/>
      <c r="AI611" s="1374"/>
      <c r="AJ611" s="1374"/>
      <c r="AK611" s="1374"/>
      <c r="AZ611" s="3"/>
      <c r="BA611" s="3"/>
      <c r="BB611" s="3"/>
      <c r="BC611" s="3"/>
    </row>
    <row r="612" spans="1:55" ht="13" customHeight="1">
      <c r="B612" t="s">
        <v>17</v>
      </c>
      <c r="G612" s="1410"/>
      <c r="H612" s="1410"/>
      <c r="I612" s="1410"/>
      <c r="J612" s="1410"/>
      <c r="K612" s="1410"/>
      <c r="L612" s="1410"/>
      <c r="M612" s="1410"/>
      <c r="N612" s="1410"/>
      <c r="O612" s="1410"/>
      <c r="P612" s="1410"/>
      <c r="Q612" s="1410"/>
      <c r="R612" s="1410"/>
      <c r="U612" t="s">
        <v>17</v>
      </c>
      <c r="Z612" s="1374"/>
      <c r="AA612" s="1374"/>
      <c r="AB612" s="1374"/>
      <c r="AC612" s="1374"/>
      <c r="AD612" s="1374"/>
      <c r="AE612" s="1374"/>
      <c r="AF612" s="1374"/>
      <c r="AG612" s="1374"/>
      <c r="AH612" s="1374"/>
      <c r="AI612" s="1374"/>
      <c r="AJ612" s="1374"/>
      <c r="AK612" s="1374"/>
      <c r="AZ612" s="3"/>
      <c r="BA612" s="3"/>
      <c r="BB612" s="3"/>
      <c r="BC612" s="3"/>
    </row>
    <row r="613" spans="1:55" ht="13" customHeight="1">
      <c r="B613" t="s">
        <v>316</v>
      </c>
      <c r="G613" s="1490"/>
      <c r="H613" s="1490"/>
      <c r="I613" s="1490"/>
      <c r="J613" s="1490"/>
      <c r="K613" s="1490"/>
      <c r="L613" s="1490"/>
      <c r="O613" s="33" t="s">
        <v>206</v>
      </c>
      <c r="P613" s="1474"/>
      <c r="Q613" s="1474"/>
      <c r="R613" s="1474"/>
      <c r="U613" t="s">
        <v>316</v>
      </c>
      <c r="Z613" s="1490"/>
      <c r="AA613" s="1490"/>
      <c r="AB613" s="1490"/>
      <c r="AC613" s="1490"/>
      <c r="AD613" s="1490"/>
      <c r="AE613" s="1490"/>
      <c r="AH613" s="33" t="s">
        <v>206</v>
      </c>
      <c r="AI613" s="1474"/>
      <c r="AJ613" s="1474"/>
      <c r="AK613" s="1474"/>
      <c r="AZ613" s="3"/>
      <c r="BA613" s="3"/>
      <c r="BB613" s="3"/>
      <c r="BC613" s="3"/>
    </row>
    <row r="614" spans="1:55" ht="13" customHeight="1">
      <c r="B614" t="s">
        <v>18</v>
      </c>
      <c r="H614" s="1410"/>
      <c r="I614" s="1410"/>
      <c r="J614" s="1410"/>
      <c r="K614" s="1410"/>
      <c r="L614" s="1410"/>
      <c r="M614" s="1410"/>
      <c r="N614" s="1410"/>
      <c r="O614" s="1410"/>
      <c r="P614" s="1410"/>
      <c r="Q614" s="1410"/>
      <c r="R614" s="1410"/>
      <c r="U614" t="s">
        <v>18</v>
      </c>
      <c r="AA614" s="1410"/>
      <c r="AB614" s="1410"/>
      <c r="AC614" s="1410"/>
      <c r="AD614" s="1410"/>
      <c r="AE614" s="1410"/>
      <c r="AF614" s="1410"/>
      <c r="AG614" s="1410"/>
      <c r="AH614" s="1410"/>
      <c r="AI614" s="1410"/>
      <c r="AJ614" s="1410"/>
      <c r="AK614" s="1410"/>
      <c r="AU614" s="899"/>
      <c r="AV614" s="899"/>
      <c r="AW614" s="899"/>
      <c r="AX614" s="899"/>
      <c r="AY614" s="899"/>
      <c r="AZ614" s="3"/>
      <c r="BA614" s="3"/>
      <c r="BB614" s="3"/>
      <c r="BC614" s="3"/>
    </row>
    <row r="615" spans="1:55" ht="13" customHeight="1">
      <c r="B615" t="s">
        <v>20</v>
      </c>
      <c r="N615" s="1418" t="s">
        <v>670</v>
      </c>
      <c r="O615" s="1418"/>
      <c r="U615" t="s">
        <v>20</v>
      </c>
      <c r="AG615" s="1418" t="s">
        <v>670</v>
      </c>
      <c r="AH615" s="1418"/>
      <c r="AU615" s="899"/>
      <c r="AV615" s="899"/>
      <c r="AW615" s="899"/>
      <c r="AX615" s="899"/>
      <c r="AY615" s="899"/>
      <c r="AZ615" s="3"/>
      <c r="BA615" s="3"/>
      <c r="BB615" s="3"/>
      <c r="BC615" s="3"/>
    </row>
    <row r="616" spans="1:55" ht="13" customHeight="1">
      <c r="AZ616" s="3"/>
      <c r="BA616" s="3"/>
      <c r="BB616" s="3"/>
      <c r="BC616" s="3"/>
    </row>
    <row r="617" spans="1:55" ht="13" customHeight="1">
      <c r="A617" s="1273" t="s">
        <v>545</v>
      </c>
      <c r="B617" s="1273"/>
      <c r="C617" s="1273"/>
      <c r="D617" s="1273"/>
      <c r="E617" s="1273"/>
      <c r="F617" s="1273"/>
      <c r="G617" s="1273"/>
      <c r="H617" s="1273"/>
      <c r="I617" s="1273"/>
      <c r="J617" s="1273"/>
      <c r="K617" s="1273"/>
      <c r="L617" s="1273"/>
      <c r="M617" s="1273"/>
      <c r="N617" s="1273"/>
      <c r="O617" s="1273"/>
      <c r="P617" s="1273"/>
      <c r="Q617" s="1273"/>
      <c r="R617" s="1273"/>
      <c r="S617" s="1273"/>
      <c r="T617" s="1273"/>
      <c r="U617" s="1273"/>
      <c r="V617" s="1273"/>
      <c r="W617" s="1273"/>
      <c r="X617" s="1273"/>
      <c r="Y617" s="1273"/>
      <c r="Z617" s="1273"/>
      <c r="AA617" s="1273"/>
      <c r="AB617" s="1273"/>
      <c r="AC617" s="1273"/>
      <c r="AD617" s="1273"/>
      <c r="AE617" s="1273"/>
      <c r="AF617" s="1273"/>
      <c r="AG617" s="1273"/>
      <c r="AH617" s="1273"/>
      <c r="AI617" s="1273"/>
      <c r="AJ617" s="1273"/>
      <c r="AK617" s="1273"/>
      <c r="AL617" s="1273"/>
      <c r="AM617" s="1273"/>
      <c r="AN617" s="1273"/>
      <c r="AO617" s="1273"/>
      <c r="AP617" s="1273"/>
      <c r="AQ617" s="1273"/>
      <c r="AR617" s="1273"/>
      <c r="AS617" s="1273"/>
      <c r="AT617" s="1273"/>
      <c r="AZ617" s="3"/>
      <c r="BA617" s="3"/>
      <c r="BB617" s="3"/>
      <c r="BC617" s="3"/>
    </row>
    <row r="618" spans="1:55" ht="13" customHeight="1">
      <c r="A618" s="1273"/>
      <c r="B618" s="1273"/>
      <c r="C618" s="1273"/>
      <c r="D618" s="1273"/>
      <c r="E618" s="1273"/>
      <c r="F618" s="1273"/>
      <c r="G618" s="1273"/>
      <c r="H618" s="1273"/>
      <c r="I618" s="1273"/>
      <c r="J618" s="1273"/>
      <c r="K618" s="1273"/>
      <c r="L618" s="1273"/>
      <c r="M618" s="1273"/>
      <c r="N618" s="1273"/>
      <c r="O618" s="1273"/>
      <c r="P618" s="1273"/>
      <c r="Q618" s="1273"/>
      <c r="R618" s="1273"/>
      <c r="S618" s="1273"/>
      <c r="T618" s="1273"/>
      <c r="U618" s="1273"/>
      <c r="V618" s="1273"/>
      <c r="W618" s="1273"/>
      <c r="X618" s="1273"/>
      <c r="Y618" s="1273"/>
      <c r="Z618" s="1273"/>
      <c r="AA618" s="1273"/>
      <c r="AB618" s="1273"/>
      <c r="AC618" s="1273"/>
      <c r="AD618" s="1273"/>
      <c r="AE618" s="1273"/>
      <c r="AF618" s="1273"/>
      <c r="AG618" s="1273"/>
      <c r="AH618" s="1273"/>
      <c r="AI618" s="1273"/>
      <c r="AJ618" s="1273"/>
      <c r="AK618" s="1273"/>
      <c r="AL618" s="1273"/>
      <c r="AM618" s="1273"/>
      <c r="AN618" s="1273"/>
      <c r="AO618" s="1273"/>
      <c r="AP618" s="1273"/>
      <c r="AQ618" s="1273"/>
      <c r="AR618" s="1273"/>
      <c r="AS618" s="1273"/>
      <c r="AT618" s="1273"/>
      <c r="AZ618" s="3"/>
      <c r="BA618" s="3"/>
      <c r="BB618" s="3"/>
      <c r="BC618" s="3"/>
    </row>
    <row r="619" spans="1:55" ht="13" customHeight="1">
      <c r="AZ619" s="3"/>
      <c r="BA619" s="3"/>
      <c r="BB619" s="3"/>
      <c r="BC619" s="3"/>
    </row>
    <row r="620" spans="1:55" ht="13" customHeight="1">
      <c r="A620" s="2" t="s">
        <v>319</v>
      </c>
      <c r="B620" s="2"/>
      <c r="C620" s="2" t="s">
        <v>21</v>
      </c>
      <c r="AZ620" s="3"/>
      <c r="BA620" s="3"/>
      <c r="BB620" s="3"/>
      <c r="BC620" s="3"/>
    </row>
    <row r="621" spans="1:55" ht="13" customHeight="1">
      <c r="A621" s="2"/>
      <c r="B621" s="2"/>
      <c r="C621" s="2"/>
      <c r="AZ621" s="3"/>
      <c r="BA621" s="3"/>
      <c r="BB621" s="3"/>
      <c r="BC621" s="3"/>
    </row>
    <row r="622" spans="1:55" ht="13" customHeight="1">
      <c r="C622" s="2" t="s">
        <v>2102</v>
      </c>
      <c r="AZ622" s="3"/>
      <c r="BA622" s="3"/>
      <c r="BB622" s="3"/>
      <c r="BC622" s="3"/>
    </row>
    <row r="623" spans="1:55" ht="13" customHeight="1">
      <c r="B623" s="512"/>
      <c r="C623" s="2"/>
      <c r="AU623" s="3"/>
      <c r="AZ623" s="3"/>
      <c r="BA623" s="3"/>
      <c r="BB623" s="3"/>
      <c r="BC623" s="3"/>
    </row>
    <row r="624" spans="1:55" ht="13" customHeight="1">
      <c r="B624" s="1674" t="s">
        <v>2104</v>
      </c>
      <c r="C624" s="1674"/>
      <c r="D624" s="1674"/>
      <c r="E624" s="1674"/>
      <c r="F624" s="1674"/>
      <c r="G624" s="1674"/>
      <c r="H624" s="1674"/>
      <c r="I624" s="1674"/>
      <c r="J624" s="1674"/>
      <c r="K624" s="1674"/>
      <c r="L624" s="1674"/>
      <c r="M624" s="1679" t="s">
        <v>2105</v>
      </c>
      <c r="N624" s="1679"/>
      <c r="O624" s="1679"/>
      <c r="P624" s="1679"/>
      <c r="Q624" s="1679" t="s">
        <v>1854</v>
      </c>
      <c r="R624" s="1679"/>
      <c r="S624" s="1679"/>
      <c r="T624" s="1679" t="s">
        <v>1852</v>
      </c>
      <c r="U624" s="1679"/>
      <c r="V624" s="1679"/>
      <c r="W624" s="1675" t="s">
        <v>454</v>
      </c>
      <c r="X624" s="1675"/>
      <c r="Y624" s="1675"/>
      <c r="Z624" s="1400" t="s">
        <v>2134</v>
      </c>
      <c r="AA624" s="1400"/>
      <c r="AB624" s="1401"/>
      <c r="AC624" s="1680" t="s">
        <v>1677</v>
      </c>
      <c r="AD624" s="1681"/>
      <c r="AE624" s="1682"/>
      <c r="AF624" s="1399" t="s">
        <v>1932</v>
      </c>
      <c r="AG624" s="1400"/>
      <c r="AH624" s="1400"/>
      <c r="AI624" s="1400"/>
      <c r="AJ624" s="1401"/>
      <c r="AK624" s="1594" t="s">
        <v>1933</v>
      </c>
      <c r="AL624" s="1595"/>
      <c r="AM624" s="1595"/>
      <c r="AN624" s="1596"/>
      <c r="AO624" s="1679" t="s">
        <v>455</v>
      </c>
      <c r="AP624" s="1679"/>
      <c r="AQ624" s="1679"/>
      <c r="AR624" s="1679"/>
      <c r="AS624" s="1679"/>
      <c r="AU624" s="3"/>
      <c r="AZ624" s="3"/>
      <c r="BA624" s="3"/>
      <c r="BB624" s="3"/>
      <c r="BC624" s="3"/>
    </row>
    <row r="625" spans="2:157" ht="13" customHeight="1">
      <c r="B625" s="1674"/>
      <c r="C625" s="1674"/>
      <c r="D625" s="1674"/>
      <c r="E625" s="1674"/>
      <c r="F625" s="1674"/>
      <c r="G625" s="1674"/>
      <c r="H625" s="1674"/>
      <c r="I625" s="1674"/>
      <c r="J625" s="1674"/>
      <c r="K625" s="1674"/>
      <c r="L625" s="1674"/>
      <c r="M625" s="1679"/>
      <c r="N625" s="1679"/>
      <c r="O625" s="1679"/>
      <c r="P625" s="1679"/>
      <c r="Q625" s="1679"/>
      <c r="R625" s="1679"/>
      <c r="S625" s="1679"/>
      <c r="T625" s="1679"/>
      <c r="U625" s="1679"/>
      <c r="V625" s="1679"/>
      <c r="W625" s="1675"/>
      <c r="X625" s="1675"/>
      <c r="Y625" s="1675"/>
      <c r="Z625" s="1403"/>
      <c r="AA625" s="1403"/>
      <c r="AB625" s="1404"/>
      <c r="AC625" s="1683"/>
      <c r="AD625" s="1684"/>
      <c r="AE625" s="1685"/>
      <c r="AF625" s="1402"/>
      <c r="AG625" s="1403"/>
      <c r="AH625" s="1403"/>
      <c r="AI625" s="1403"/>
      <c r="AJ625" s="1404"/>
      <c r="AK625" s="1597"/>
      <c r="AL625" s="1598"/>
      <c r="AM625" s="1598"/>
      <c r="AN625" s="1599"/>
      <c r="AO625" s="1679"/>
      <c r="AP625" s="1679"/>
      <c r="AQ625" s="1679"/>
      <c r="AR625" s="1679"/>
      <c r="AS625" s="1679"/>
      <c r="AU625" s="3"/>
      <c r="AZ625" s="3"/>
      <c r="BA625" s="3"/>
      <c r="BB625" s="3"/>
      <c r="BC625" s="3"/>
      <c r="BD625" s="3"/>
    </row>
    <row r="626" spans="2:157" ht="13" customHeight="1">
      <c r="B626" s="1674"/>
      <c r="C626" s="1674"/>
      <c r="D626" s="1674"/>
      <c r="E626" s="1674"/>
      <c r="F626" s="1674"/>
      <c r="G626" s="1674"/>
      <c r="H626" s="1674"/>
      <c r="I626" s="1674"/>
      <c r="J626" s="1674"/>
      <c r="K626" s="1674"/>
      <c r="L626" s="1674"/>
      <c r="M626" s="1679"/>
      <c r="N626" s="1679"/>
      <c r="O626" s="1679"/>
      <c r="P626" s="1679"/>
      <c r="Q626" s="1679"/>
      <c r="R626" s="1679"/>
      <c r="S626" s="1679"/>
      <c r="T626" s="1679"/>
      <c r="U626" s="1679"/>
      <c r="V626" s="1679"/>
      <c r="W626" s="1675"/>
      <c r="X626" s="1675"/>
      <c r="Y626" s="1675"/>
      <c r="Z626" s="1406"/>
      <c r="AA626" s="1406"/>
      <c r="AB626" s="1407"/>
      <c r="AC626" s="1686"/>
      <c r="AD626" s="1687"/>
      <c r="AE626" s="1688"/>
      <c r="AF626" s="1405"/>
      <c r="AG626" s="1406"/>
      <c r="AH626" s="1406"/>
      <c r="AI626" s="1406"/>
      <c r="AJ626" s="1407"/>
      <c r="AK626" s="1600"/>
      <c r="AL626" s="1601"/>
      <c r="AM626" s="1601"/>
      <c r="AN626" s="1602"/>
      <c r="AO626" s="1679"/>
      <c r="AP626" s="1679"/>
      <c r="AQ626" s="1679"/>
      <c r="AR626" s="1679"/>
      <c r="AS626" s="1679"/>
      <c r="AT626" s="3"/>
      <c r="AU626" s="3"/>
      <c r="AZ626" s="3"/>
      <c r="BA626" s="3"/>
      <c r="BB626" s="3"/>
      <c r="BC626" s="3"/>
      <c r="BD626" s="3"/>
    </row>
    <row r="627" spans="2:157" ht="13" customHeight="1">
      <c r="B627" s="51" t="s">
        <v>112</v>
      </c>
      <c r="C627" s="1482" t="s">
        <v>2707</v>
      </c>
      <c r="D627" s="1482"/>
      <c r="E627" s="1482"/>
      <c r="F627" s="1482"/>
      <c r="G627" s="1482"/>
      <c r="H627" s="1482"/>
      <c r="I627" s="1482"/>
      <c r="J627" s="1482"/>
      <c r="K627" s="1482"/>
      <c r="L627" s="1482"/>
      <c r="M627" s="1497" t="s">
        <v>2121</v>
      </c>
      <c r="N627" s="1497"/>
      <c r="O627" s="1497"/>
      <c r="P627" s="1497"/>
      <c r="Q627" s="1512">
        <f>17*12</f>
        <v>204</v>
      </c>
      <c r="R627" s="1512"/>
      <c r="S627" s="1513"/>
      <c r="T627" s="1511">
        <f>40*12</f>
        <v>480</v>
      </c>
      <c r="U627" s="1512"/>
      <c r="V627" s="1513"/>
      <c r="W627" s="1483">
        <v>5.96E-2</v>
      </c>
      <c r="X627" s="1484"/>
      <c r="Y627" s="1485"/>
      <c r="Z627" s="1479" t="s">
        <v>2133</v>
      </c>
      <c r="AA627" s="1480"/>
      <c r="AB627" s="1481"/>
      <c r="AC627" s="1384">
        <v>1</v>
      </c>
      <c r="AD627" s="1385"/>
      <c r="AE627" s="1386"/>
      <c r="AF627" s="1494">
        <v>1113397</v>
      </c>
      <c r="AG627" s="1495"/>
      <c r="AH627" s="1495"/>
      <c r="AI627" s="1495"/>
      <c r="AJ627" s="1496"/>
      <c r="AK627" s="1487">
        <v>0</v>
      </c>
      <c r="AL627" s="1488"/>
      <c r="AM627" s="1488"/>
      <c r="AN627" s="1489"/>
      <c r="AO627" s="1643">
        <v>16950000</v>
      </c>
      <c r="AP627" s="1643"/>
      <c r="AQ627" s="1643"/>
      <c r="AR627" s="1643"/>
      <c r="AS627" s="1643"/>
      <c r="AT627" s="3"/>
      <c r="AU627" s="3"/>
      <c r="AZ627" s="3"/>
      <c r="BA627" s="3"/>
      <c r="BB627" s="3"/>
      <c r="BC627" s="3"/>
      <c r="BD627" s="3"/>
    </row>
    <row r="628" spans="2:157" ht="13" customHeight="1">
      <c r="B628" s="52" t="s">
        <v>113</v>
      </c>
      <c r="C628" s="1482" t="s">
        <v>2723</v>
      </c>
      <c r="D628" s="1482"/>
      <c r="E628" s="1482"/>
      <c r="F628" s="1482"/>
      <c r="G628" s="1482"/>
      <c r="H628" s="1482"/>
      <c r="I628" s="1482"/>
      <c r="J628" s="1482"/>
      <c r="K628" s="1482"/>
      <c r="L628" s="1482"/>
      <c r="M628" s="1497" t="s">
        <v>2117</v>
      </c>
      <c r="N628" s="1497"/>
      <c r="O628" s="1497"/>
      <c r="P628" s="1497"/>
      <c r="Q628" s="1511">
        <f>40*12</f>
        <v>480</v>
      </c>
      <c r="R628" s="1512"/>
      <c r="S628" s="1513"/>
      <c r="T628" s="1511"/>
      <c r="U628" s="1512"/>
      <c r="V628" s="1513"/>
      <c r="W628" s="1483">
        <v>7.4999999999999997E-2</v>
      </c>
      <c r="X628" s="1484"/>
      <c r="Y628" s="1485"/>
      <c r="Z628" s="1479" t="s">
        <v>458</v>
      </c>
      <c r="AA628" s="1480"/>
      <c r="AB628" s="1481"/>
      <c r="AC628" s="1384">
        <v>2</v>
      </c>
      <c r="AD628" s="1385"/>
      <c r="AE628" s="1386"/>
      <c r="AF628" s="1494"/>
      <c r="AG628" s="1495"/>
      <c r="AH628" s="1495"/>
      <c r="AI628" s="1495"/>
      <c r="AJ628" s="1496"/>
      <c r="AK628" s="1487"/>
      <c r="AL628" s="1488"/>
      <c r="AM628" s="1488"/>
      <c r="AN628" s="1489"/>
      <c r="AO628" s="1478">
        <v>1500000</v>
      </c>
      <c r="AP628" s="1341"/>
      <c r="AQ628" s="1341"/>
      <c r="AR628" s="1341"/>
      <c r="AS628" s="1342"/>
      <c r="AT628" s="1148" t="str">
        <f>IF(AND(NOT(C627=""),C628="",NOT(C629="")),"!","")</f>
        <v/>
      </c>
      <c r="AU628" s="3"/>
      <c r="AZ628" s="3"/>
      <c r="BA628" s="3"/>
      <c r="BB628" s="3"/>
      <c r="BC628" s="3"/>
      <c r="BD628" s="3"/>
    </row>
    <row r="629" spans="2:157" ht="13" customHeight="1">
      <c r="B629" s="52" t="s">
        <v>119</v>
      </c>
      <c r="C629" s="1482" t="s">
        <v>2706</v>
      </c>
      <c r="D629" s="1482"/>
      <c r="E629" s="1482"/>
      <c r="F629" s="1482"/>
      <c r="G629" s="1482"/>
      <c r="H629" s="1482"/>
      <c r="I629" s="1482"/>
      <c r="J629" s="1482"/>
      <c r="K629" s="1482"/>
      <c r="L629" s="1482"/>
      <c r="M629" s="1497" t="s">
        <v>2119</v>
      </c>
      <c r="N629" s="1497"/>
      <c r="O629" s="1497"/>
      <c r="P629" s="1497"/>
      <c r="Q629" s="1511">
        <f>55*12</f>
        <v>660</v>
      </c>
      <c r="R629" s="1512"/>
      <c r="S629" s="1513"/>
      <c r="T629" s="1511"/>
      <c r="U629" s="1512"/>
      <c r="V629" s="1513"/>
      <c r="W629" s="1483">
        <v>0.03</v>
      </c>
      <c r="X629" s="1484"/>
      <c r="Y629" s="1485"/>
      <c r="Z629" s="1479" t="s">
        <v>458</v>
      </c>
      <c r="AA629" s="1480"/>
      <c r="AB629" s="1481"/>
      <c r="AC629" s="1384">
        <v>3</v>
      </c>
      <c r="AD629" s="1385"/>
      <c r="AE629" s="1386"/>
      <c r="AF629" s="1494"/>
      <c r="AG629" s="1495"/>
      <c r="AH629" s="1495"/>
      <c r="AI629" s="1495"/>
      <c r="AJ629" s="1496"/>
      <c r="AK629" s="1487"/>
      <c r="AL629" s="1488"/>
      <c r="AM629" s="1488"/>
      <c r="AN629" s="1489"/>
      <c r="AO629" s="1478">
        <v>5000000</v>
      </c>
      <c r="AP629" s="1341"/>
      <c r="AQ629" s="1341"/>
      <c r="AR629" s="1341"/>
      <c r="AS629" s="1342"/>
      <c r="AT629" s="1148" t="str">
        <f t="shared" ref="AT629:AT638" si="1">IF(AND(NOT(C628=""),C629="",NOT(C630="")),"!","")</f>
        <v/>
      </c>
      <c r="AU629" s="3"/>
      <c r="AZ629" s="3"/>
      <c r="BA629" s="3"/>
      <c r="BB629" s="3"/>
      <c r="BC629" s="3"/>
      <c r="BD629" s="3"/>
    </row>
    <row r="630" spans="2:157" ht="13" customHeight="1">
      <c r="B630" s="52" t="s">
        <v>582</v>
      </c>
      <c r="C630" s="1482" t="s">
        <v>2710</v>
      </c>
      <c r="D630" s="1492"/>
      <c r="E630" s="1492"/>
      <c r="F630" s="1492"/>
      <c r="G630" s="1492"/>
      <c r="H630" s="1492"/>
      <c r="I630" s="1492"/>
      <c r="J630" s="1492"/>
      <c r="K630" s="1492"/>
      <c r="L630" s="1492"/>
      <c r="M630" s="1497" t="s">
        <v>2119</v>
      </c>
      <c r="N630" s="1497"/>
      <c r="O630" s="1497"/>
      <c r="P630" s="1497"/>
      <c r="Q630" s="1511">
        <f>55*12</f>
        <v>660</v>
      </c>
      <c r="R630" s="1512"/>
      <c r="S630" s="1513"/>
      <c r="T630" s="1511"/>
      <c r="U630" s="1512"/>
      <c r="V630" s="1513"/>
      <c r="W630" s="1483"/>
      <c r="X630" s="1484"/>
      <c r="Y630" s="1485"/>
      <c r="Z630" s="1479" t="s">
        <v>458</v>
      </c>
      <c r="AA630" s="1480"/>
      <c r="AB630" s="1481"/>
      <c r="AC630" s="1384">
        <v>3</v>
      </c>
      <c r="AD630" s="1385"/>
      <c r="AE630" s="1386"/>
      <c r="AF630" s="1494"/>
      <c r="AG630" s="1495"/>
      <c r="AH630" s="1495"/>
      <c r="AI630" s="1495"/>
      <c r="AJ630" s="1496"/>
      <c r="AK630" s="1487"/>
      <c r="AL630" s="1488"/>
      <c r="AM630" s="1488"/>
      <c r="AN630" s="1489"/>
      <c r="AO630" s="1478">
        <v>300000</v>
      </c>
      <c r="AP630" s="1341"/>
      <c r="AQ630" s="1341"/>
      <c r="AR630" s="1341"/>
      <c r="AS630" s="1342"/>
      <c r="AT630" s="1148" t="str">
        <f t="shared" si="1"/>
        <v/>
      </c>
      <c r="AU630" s="3"/>
      <c r="AZ630" s="3"/>
      <c r="BA630" s="3"/>
      <c r="BB630" s="3"/>
      <c r="BC630" s="3"/>
      <c r="BD630" s="3"/>
    </row>
    <row r="631" spans="2:157" ht="13" customHeight="1">
      <c r="B631" s="52" t="s">
        <v>764</v>
      </c>
      <c r="C631" s="1482" t="s">
        <v>2323</v>
      </c>
      <c r="D631" s="1492"/>
      <c r="E631" s="1492"/>
      <c r="F631" s="1492"/>
      <c r="G631" s="1492"/>
      <c r="H631" s="1492"/>
      <c r="I631" s="1492"/>
      <c r="J631" s="1492"/>
      <c r="K631" s="1492"/>
      <c r="L631" s="1492"/>
      <c r="M631" s="1497" t="s">
        <v>2108</v>
      </c>
      <c r="N631" s="1497"/>
      <c r="O631" s="1497"/>
      <c r="P631" s="1497"/>
      <c r="Q631" s="1511"/>
      <c r="R631" s="1512"/>
      <c r="S631" s="1513"/>
      <c r="T631" s="1511"/>
      <c r="U631" s="1512"/>
      <c r="V631" s="1513"/>
      <c r="W631" s="1483"/>
      <c r="X631" s="1484"/>
      <c r="Y631" s="1485"/>
      <c r="Z631" s="1479" t="s">
        <v>458</v>
      </c>
      <c r="AA631" s="1480"/>
      <c r="AB631" s="1481"/>
      <c r="AC631" s="1384"/>
      <c r="AD631" s="1385"/>
      <c r="AE631" s="1386"/>
      <c r="AF631" s="1494"/>
      <c r="AG631" s="1495"/>
      <c r="AH631" s="1495"/>
      <c r="AI631" s="1495"/>
      <c r="AJ631" s="1496"/>
      <c r="AK631" s="1487"/>
      <c r="AL631" s="1488"/>
      <c r="AM631" s="1488"/>
      <c r="AN631" s="1489"/>
      <c r="AO631" s="1478">
        <v>4427317</v>
      </c>
      <c r="AP631" s="1341"/>
      <c r="AQ631" s="1341"/>
      <c r="AR631" s="1341"/>
      <c r="AS631" s="1342"/>
      <c r="AT631" s="1148" t="str">
        <f t="shared" si="1"/>
        <v/>
      </c>
      <c r="AU631" s="3"/>
      <c r="AZ631" s="3"/>
      <c r="BA631" s="3"/>
      <c r="BB631" s="3"/>
      <c r="BC631" s="3"/>
      <c r="BD631" s="3"/>
    </row>
    <row r="632" spans="2:157" ht="13" customHeight="1">
      <c r="B632" s="52" t="s">
        <v>585</v>
      </c>
      <c r="C632" s="1482" t="s">
        <v>2724</v>
      </c>
      <c r="D632" s="1492"/>
      <c r="E632" s="1492"/>
      <c r="F632" s="1492"/>
      <c r="G632" s="1492"/>
      <c r="H632" s="1492"/>
      <c r="I632" s="1492"/>
      <c r="J632" s="1492"/>
      <c r="K632" s="1492"/>
      <c r="L632" s="1492"/>
      <c r="M632" s="1497" t="s">
        <v>2112</v>
      </c>
      <c r="N632" s="1497"/>
      <c r="O632" s="1497"/>
      <c r="P632" s="1497"/>
      <c r="Q632" s="1511"/>
      <c r="R632" s="1512"/>
      <c r="S632" s="1513"/>
      <c r="T632" s="1511"/>
      <c r="U632" s="1512"/>
      <c r="V632" s="1513"/>
      <c r="W632" s="1483"/>
      <c r="X632" s="1484"/>
      <c r="Y632" s="1485"/>
      <c r="Z632" s="1479" t="s">
        <v>1185</v>
      </c>
      <c r="AA632" s="1480"/>
      <c r="AB632" s="1481"/>
      <c r="AC632" s="1384"/>
      <c r="AD632" s="1385"/>
      <c r="AE632" s="1386"/>
      <c r="AF632" s="1494"/>
      <c r="AG632" s="1495"/>
      <c r="AH632" s="1495"/>
      <c r="AI632" s="1495"/>
      <c r="AJ632" s="1496"/>
      <c r="AK632" s="1487"/>
      <c r="AL632" s="1488"/>
      <c r="AM632" s="1488"/>
      <c r="AN632" s="1489"/>
      <c r="AO632" s="1478">
        <v>133893</v>
      </c>
      <c r="AP632" s="1341"/>
      <c r="AQ632" s="1341"/>
      <c r="AR632" s="1341"/>
      <c r="AS632" s="1342"/>
      <c r="AT632" s="1148" t="str">
        <f t="shared" si="1"/>
        <v/>
      </c>
      <c r="AU632" s="3"/>
      <c r="AZ632" s="3"/>
      <c r="BA632" s="3"/>
      <c r="BB632" s="3"/>
      <c r="BC632" s="3"/>
      <c r="BD632" s="3"/>
    </row>
    <row r="633" spans="2:157" ht="13" customHeight="1">
      <c r="B633" s="52" t="s">
        <v>456</v>
      </c>
      <c r="C633" s="1492"/>
      <c r="D633" s="1492"/>
      <c r="E633" s="1492"/>
      <c r="F633" s="1492"/>
      <c r="G633" s="1492"/>
      <c r="H633" s="1492"/>
      <c r="I633" s="1492"/>
      <c r="J633" s="1492"/>
      <c r="K633" s="1492"/>
      <c r="L633" s="1492"/>
      <c r="M633" s="1497" t="s">
        <v>1185</v>
      </c>
      <c r="N633" s="1497"/>
      <c r="O633" s="1497"/>
      <c r="P633" s="1497"/>
      <c r="Q633" s="1511"/>
      <c r="R633" s="1512"/>
      <c r="S633" s="1513"/>
      <c r="T633" s="1511"/>
      <c r="U633" s="1512"/>
      <c r="V633" s="1513"/>
      <c r="W633" s="1483"/>
      <c r="X633" s="1484"/>
      <c r="Y633" s="1485"/>
      <c r="Z633" s="1479" t="s">
        <v>1185</v>
      </c>
      <c r="AA633" s="1480"/>
      <c r="AB633" s="1481"/>
      <c r="AC633" s="1384"/>
      <c r="AD633" s="1385"/>
      <c r="AE633" s="1386"/>
      <c r="AF633" s="1494"/>
      <c r="AG633" s="1495"/>
      <c r="AH633" s="1495"/>
      <c r="AI633" s="1495"/>
      <c r="AJ633" s="1496"/>
      <c r="AK633" s="1487"/>
      <c r="AL633" s="1488"/>
      <c r="AM633" s="1488"/>
      <c r="AN633" s="1489"/>
      <c r="AO633" s="1478"/>
      <c r="AP633" s="1341"/>
      <c r="AQ633" s="1341"/>
      <c r="AR633" s="1341"/>
      <c r="AS633" s="1342"/>
      <c r="AT633" s="1148" t="str">
        <f t="shared" si="1"/>
        <v/>
      </c>
      <c r="AU633" s="3"/>
      <c r="AV633" s="3"/>
      <c r="AW633" s="3"/>
      <c r="AX633" s="3"/>
      <c r="AY633" s="3"/>
      <c r="AZ633" s="3"/>
      <c r="BA633" s="3"/>
      <c r="BB633" s="3"/>
      <c r="BC633" s="3"/>
      <c r="BD633" s="3"/>
    </row>
    <row r="634" spans="2:157" ht="13" customHeight="1">
      <c r="B634" s="52" t="s">
        <v>457</v>
      </c>
      <c r="C634" s="1492"/>
      <c r="D634" s="1492"/>
      <c r="E634" s="1492"/>
      <c r="F634" s="1492"/>
      <c r="G634" s="1492"/>
      <c r="H634" s="1492"/>
      <c r="I634" s="1492"/>
      <c r="J634" s="1492"/>
      <c r="K634" s="1492"/>
      <c r="L634" s="1492"/>
      <c r="M634" s="1497" t="s">
        <v>1185</v>
      </c>
      <c r="N634" s="1497"/>
      <c r="O634" s="1497"/>
      <c r="P634" s="1497"/>
      <c r="Q634" s="1511"/>
      <c r="R634" s="1512"/>
      <c r="S634" s="1513"/>
      <c r="T634" s="1511"/>
      <c r="U634" s="1512"/>
      <c r="V634" s="1513"/>
      <c r="W634" s="1483"/>
      <c r="X634" s="1484"/>
      <c r="Y634" s="1485"/>
      <c r="Z634" s="1479" t="s">
        <v>1185</v>
      </c>
      <c r="AA634" s="1480"/>
      <c r="AB634" s="1481"/>
      <c r="AC634" s="1384"/>
      <c r="AD634" s="1385"/>
      <c r="AE634" s="1386"/>
      <c r="AF634" s="1494"/>
      <c r="AG634" s="1495"/>
      <c r="AH634" s="1495"/>
      <c r="AI634" s="1495"/>
      <c r="AJ634" s="1496"/>
      <c r="AK634" s="1487"/>
      <c r="AL634" s="1488"/>
      <c r="AM634" s="1488"/>
      <c r="AN634" s="1489"/>
      <c r="AO634" s="1478"/>
      <c r="AP634" s="1341"/>
      <c r="AQ634" s="1341"/>
      <c r="AR634" s="1341"/>
      <c r="AS634" s="1342"/>
      <c r="AT634" s="1148" t="str">
        <f t="shared" si="1"/>
        <v/>
      </c>
      <c r="AU634" s="3"/>
      <c r="AV634" s="3"/>
      <c r="AW634" s="3"/>
      <c r="AX634" s="3"/>
      <c r="AY634" s="3"/>
      <c r="AZ634" s="3"/>
      <c r="BA634" s="3" t="s">
        <v>1185</v>
      </c>
      <c r="BB634" s="3"/>
      <c r="BC634" s="3"/>
      <c r="BD634" s="3"/>
    </row>
    <row r="635" spans="2:157" ht="13" customHeight="1">
      <c r="B635" s="52" t="s">
        <v>462</v>
      </c>
      <c r="C635" s="1492"/>
      <c r="D635" s="1492"/>
      <c r="E635" s="1492"/>
      <c r="F635" s="1492"/>
      <c r="G635" s="1492"/>
      <c r="H635" s="1492"/>
      <c r="I635" s="1492"/>
      <c r="J635" s="1492"/>
      <c r="K635" s="1492"/>
      <c r="L635" s="1492"/>
      <c r="M635" s="1497" t="s">
        <v>1185</v>
      </c>
      <c r="N635" s="1497"/>
      <c r="O635" s="1497"/>
      <c r="P635" s="1497"/>
      <c r="Q635" s="1511"/>
      <c r="R635" s="1512"/>
      <c r="S635" s="1513"/>
      <c r="T635" s="1511"/>
      <c r="U635" s="1512"/>
      <c r="V635" s="1513"/>
      <c r="W635" s="1483"/>
      <c r="X635" s="1484"/>
      <c r="Y635" s="1485"/>
      <c r="Z635" s="1479" t="s">
        <v>1185</v>
      </c>
      <c r="AA635" s="1480"/>
      <c r="AB635" s="1481"/>
      <c r="AC635" s="1384"/>
      <c r="AD635" s="1385"/>
      <c r="AE635" s="1386"/>
      <c r="AF635" s="1494"/>
      <c r="AG635" s="1495"/>
      <c r="AH635" s="1495"/>
      <c r="AI635" s="1495"/>
      <c r="AJ635" s="1496"/>
      <c r="AK635" s="1487"/>
      <c r="AL635" s="1488"/>
      <c r="AM635" s="1488"/>
      <c r="AN635" s="1489"/>
      <c r="AO635" s="1478"/>
      <c r="AP635" s="1341"/>
      <c r="AQ635" s="1341"/>
      <c r="AR635" s="1341"/>
      <c r="AS635" s="1342"/>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2" t="e">
        <f t="shared" ref="DX635:DX669" si="2">EZ718*(CP718/$CP$753)</f>
        <v>#VALUE!</v>
      </c>
      <c r="DY635" s="1372"/>
      <c r="DZ635" s="1372"/>
      <c r="EA635" s="1372"/>
      <c r="EB635" s="1372"/>
      <c r="EC635" s="1372">
        <f t="shared" ref="EC635:EC669" si="3">FE718*(CU718/$CU$753)</f>
        <v>98.139534883720927</v>
      </c>
      <c r="ED635" s="1372"/>
      <c r="EE635" s="1372"/>
      <c r="EF635" s="1372"/>
      <c r="EG635" s="1372"/>
      <c r="EH635" s="1372" t="e">
        <f t="shared" ref="EH635:EH669" si="4">FJ718*(CZ718/$CZ$753)</f>
        <v>#VALUE!</v>
      </c>
      <c r="EI635" s="1372"/>
      <c r="EJ635" s="1372"/>
      <c r="EK635" s="1372"/>
      <c r="EL635" s="1372"/>
      <c r="EM635" s="1372" t="e">
        <f t="shared" ref="EM635:EM669" si="5">FO718*(DE718/$DE$753)</f>
        <v>#VALUE!</v>
      </c>
      <c r="EN635" s="1372"/>
      <c r="EO635" s="1372"/>
      <c r="EP635" s="1372"/>
      <c r="EQ635" s="1372"/>
      <c r="ER635" s="1372" t="e">
        <f t="shared" ref="ER635:ER669" si="6">FT718*(DJ718/$DJ$753)</f>
        <v>#VALUE!</v>
      </c>
      <c r="ES635" s="1372"/>
      <c r="ET635" s="1372"/>
      <c r="EU635" s="1372"/>
      <c r="EV635" s="1372"/>
      <c r="EW635" s="1372" t="e">
        <f t="shared" ref="EW635:EW669" si="7">FY718*(DO718/$DO$753)</f>
        <v>#VALUE!</v>
      </c>
      <c r="EX635" s="1372"/>
      <c r="EY635" s="1372"/>
      <c r="EZ635" s="1372"/>
      <c r="FA635" s="1372"/>
    </row>
    <row r="636" spans="2:157" ht="13" customHeight="1">
      <c r="B636" s="52" t="s">
        <v>647</v>
      </c>
      <c r="C636" s="1492"/>
      <c r="D636" s="1492"/>
      <c r="E636" s="1492"/>
      <c r="F636" s="1492"/>
      <c r="G636" s="1492"/>
      <c r="H636" s="1492"/>
      <c r="I636" s="1492"/>
      <c r="J636" s="1492"/>
      <c r="K636" s="1492"/>
      <c r="L636" s="1492"/>
      <c r="M636" s="1497" t="s">
        <v>1185</v>
      </c>
      <c r="N636" s="1497"/>
      <c r="O636" s="1497"/>
      <c r="P636" s="1497"/>
      <c r="Q636" s="1511"/>
      <c r="R636" s="1512"/>
      <c r="S636" s="1513"/>
      <c r="T636" s="1511"/>
      <c r="U636" s="1512"/>
      <c r="V636" s="1513"/>
      <c r="W636" s="1483"/>
      <c r="X636" s="1484"/>
      <c r="Y636" s="1485"/>
      <c r="Z636" s="1479" t="s">
        <v>1185</v>
      </c>
      <c r="AA636" s="1480"/>
      <c r="AB636" s="1481"/>
      <c r="AC636" s="1384"/>
      <c r="AD636" s="1385"/>
      <c r="AE636" s="1386"/>
      <c r="AF636" s="1494"/>
      <c r="AG636" s="1495"/>
      <c r="AH636" s="1495"/>
      <c r="AI636" s="1495"/>
      <c r="AJ636" s="1496"/>
      <c r="AK636" s="1487"/>
      <c r="AL636" s="1488"/>
      <c r="AM636" s="1488"/>
      <c r="AN636" s="1489"/>
      <c r="AO636" s="1478"/>
      <c r="AP636" s="1341"/>
      <c r="AQ636" s="1341"/>
      <c r="AR636" s="1341"/>
      <c r="AS636" s="1342"/>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72" t="e">
        <f t="shared" si="2"/>
        <v>#VALUE!</v>
      </c>
      <c r="DY636" s="1372"/>
      <c r="DZ636" s="1372"/>
      <c r="EA636" s="1372"/>
      <c r="EB636" s="1372"/>
      <c r="EC636" s="1372">
        <f t="shared" si="3"/>
        <v>136.18604651162789</v>
      </c>
      <c r="ED636" s="1372"/>
      <c r="EE636" s="1372"/>
      <c r="EF636" s="1372"/>
      <c r="EG636" s="1372"/>
      <c r="EH636" s="1372" t="e">
        <f t="shared" si="4"/>
        <v>#VALUE!</v>
      </c>
      <c r="EI636" s="1372"/>
      <c r="EJ636" s="1372"/>
      <c r="EK636" s="1372"/>
      <c r="EL636" s="1372"/>
      <c r="EM636" s="1372" t="e">
        <f t="shared" si="5"/>
        <v>#VALUE!</v>
      </c>
      <c r="EN636" s="1372"/>
      <c r="EO636" s="1372"/>
      <c r="EP636" s="1372"/>
      <c r="EQ636" s="1372"/>
      <c r="ER636" s="1372" t="e">
        <f t="shared" si="6"/>
        <v>#VALUE!</v>
      </c>
      <c r="ES636" s="1372"/>
      <c r="ET636" s="1372"/>
      <c r="EU636" s="1372"/>
      <c r="EV636" s="1372"/>
      <c r="EW636" s="1372" t="e">
        <f t="shared" si="7"/>
        <v>#VALUE!</v>
      </c>
      <c r="EX636" s="1372"/>
      <c r="EY636" s="1372"/>
      <c r="EZ636" s="1372"/>
      <c r="FA636" s="1372"/>
    </row>
    <row r="637" spans="2:157" ht="13" customHeight="1">
      <c r="B637" s="52" t="s">
        <v>362</v>
      </c>
      <c r="C637" s="1492"/>
      <c r="D637" s="1492"/>
      <c r="E637" s="1492"/>
      <c r="F637" s="1492"/>
      <c r="G637" s="1492"/>
      <c r="H637" s="1492"/>
      <c r="I637" s="1492"/>
      <c r="J637" s="1492"/>
      <c r="K637" s="1492"/>
      <c r="L637" s="1492"/>
      <c r="M637" s="1497" t="s">
        <v>1185</v>
      </c>
      <c r="N637" s="1497"/>
      <c r="O637" s="1497"/>
      <c r="P637" s="1497"/>
      <c r="Q637" s="1511"/>
      <c r="R637" s="1512"/>
      <c r="S637" s="1513"/>
      <c r="T637" s="1511"/>
      <c r="U637" s="1512"/>
      <c r="V637" s="1513"/>
      <c r="W637" s="1483"/>
      <c r="X637" s="1484"/>
      <c r="Y637" s="1485"/>
      <c r="Z637" s="1479" t="s">
        <v>1185</v>
      </c>
      <c r="AA637" s="1480"/>
      <c r="AB637" s="1481"/>
      <c r="AC637" s="1384"/>
      <c r="AD637" s="1385"/>
      <c r="AE637" s="1386"/>
      <c r="AF637" s="1494"/>
      <c r="AG637" s="1495"/>
      <c r="AH637" s="1495"/>
      <c r="AI637" s="1495"/>
      <c r="AJ637" s="1496"/>
      <c r="AK637" s="1487"/>
      <c r="AL637" s="1488"/>
      <c r="AM637" s="1488"/>
      <c r="AN637" s="1489"/>
      <c r="AO637" s="1478"/>
      <c r="AP637" s="1341"/>
      <c r="AQ637" s="1341"/>
      <c r="AR637" s="1341"/>
      <c r="AS637" s="1342"/>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72" t="e">
        <f t="shared" si="2"/>
        <v>#VALUE!</v>
      </c>
      <c r="DY637" s="1372"/>
      <c r="DZ637" s="1372"/>
      <c r="EA637" s="1372"/>
      <c r="EB637" s="1372"/>
      <c r="EC637" s="1372">
        <f t="shared" si="3"/>
        <v>1402.6976744186045</v>
      </c>
      <c r="ED637" s="1372"/>
      <c r="EE637" s="1372"/>
      <c r="EF637" s="1372"/>
      <c r="EG637" s="1372"/>
      <c r="EH637" s="1372" t="e">
        <f t="shared" si="4"/>
        <v>#VALUE!</v>
      </c>
      <c r="EI637" s="1372"/>
      <c r="EJ637" s="1372"/>
      <c r="EK637" s="1372"/>
      <c r="EL637" s="1372"/>
      <c r="EM637" s="1372" t="e">
        <f t="shared" si="5"/>
        <v>#VALUE!</v>
      </c>
      <c r="EN637" s="1372"/>
      <c r="EO637" s="1372"/>
      <c r="EP637" s="1372"/>
      <c r="EQ637" s="1372"/>
      <c r="ER637" s="1372" t="e">
        <f t="shared" si="6"/>
        <v>#VALUE!</v>
      </c>
      <c r="ES637" s="1372"/>
      <c r="ET637" s="1372"/>
      <c r="EU637" s="1372"/>
      <c r="EV637" s="1372"/>
      <c r="EW637" s="1372" t="e">
        <f t="shared" si="7"/>
        <v>#VALUE!</v>
      </c>
      <c r="EX637" s="1372"/>
      <c r="EY637" s="1372"/>
      <c r="EZ637" s="1372"/>
      <c r="FA637" s="1372"/>
    </row>
    <row r="638" spans="2:157" ht="13" customHeight="1">
      <c r="B638" s="52" t="s">
        <v>363</v>
      </c>
      <c r="C638" s="1492"/>
      <c r="D638" s="1492"/>
      <c r="E638" s="1492"/>
      <c r="F638" s="1492"/>
      <c r="G638" s="1492"/>
      <c r="H638" s="1492"/>
      <c r="I638" s="1492"/>
      <c r="J638" s="1492"/>
      <c r="K638" s="1492"/>
      <c r="L638" s="1492"/>
      <c r="M638" s="1497" t="s">
        <v>1185</v>
      </c>
      <c r="N638" s="1497"/>
      <c r="O638" s="1497"/>
      <c r="P638" s="1497"/>
      <c r="Q638" s="1511"/>
      <c r="R638" s="1512"/>
      <c r="S638" s="1513"/>
      <c r="T638" s="1511"/>
      <c r="U638" s="1512"/>
      <c r="V638" s="1513"/>
      <c r="W638" s="1483"/>
      <c r="X638" s="1484"/>
      <c r="Y638" s="1485"/>
      <c r="Z638" s="1479" t="s">
        <v>1185</v>
      </c>
      <c r="AA638" s="1480"/>
      <c r="AB638" s="1481"/>
      <c r="AC638" s="1384"/>
      <c r="AD638" s="1385"/>
      <c r="AE638" s="1386"/>
      <c r="AF638" s="1494"/>
      <c r="AG638" s="1495"/>
      <c r="AH638" s="1495"/>
      <c r="AI638" s="1495"/>
      <c r="AJ638" s="1496"/>
      <c r="AK638" s="1487"/>
      <c r="AL638" s="1488"/>
      <c r="AM638" s="1488"/>
      <c r="AN638" s="1489"/>
      <c r="AO638" s="1478"/>
      <c r="AP638" s="1341"/>
      <c r="AQ638" s="1341"/>
      <c r="AR638" s="1341"/>
      <c r="AS638" s="1342"/>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2" t="e">
        <f t="shared" si="2"/>
        <v>#VALUE!</v>
      </c>
      <c r="DY638" s="1372"/>
      <c r="DZ638" s="1372"/>
      <c r="EA638" s="1372"/>
      <c r="EB638" s="1372"/>
      <c r="EC638" s="1372" t="e">
        <f t="shared" si="3"/>
        <v>#VALUE!</v>
      </c>
      <c r="ED638" s="1372"/>
      <c r="EE638" s="1372"/>
      <c r="EF638" s="1372"/>
      <c r="EG638" s="1372"/>
      <c r="EH638" s="1372">
        <f t="shared" si="4"/>
        <v>130.69565217391303</v>
      </c>
      <c r="EI638" s="1372"/>
      <c r="EJ638" s="1372"/>
      <c r="EK638" s="1372"/>
      <c r="EL638" s="1372"/>
      <c r="EM638" s="1372" t="e">
        <f t="shared" si="5"/>
        <v>#VALUE!</v>
      </c>
      <c r="EN638" s="1372"/>
      <c r="EO638" s="1372"/>
      <c r="EP638" s="1372"/>
      <c r="EQ638" s="1372"/>
      <c r="ER638" s="1372" t="e">
        <f t="shared" si="6"/>
        <v>#VALUE!</v>
      </c>
      <c r="ES638" s="1372"/>
      <c r="ET638" s="1372"/>
      <c r="EU638" s="1372"/>
      <c r="EV638" s="1372"/>
      <c r="EW638" s="1372" t="e">
        <f t="shared" si="7"/>
        <v>#VALUE!</v>
      </c>
      <c r="EX638" s="1372"/>
      <c r="EY638" s="1372"/>
      <c r="EZ638" s="1372"/>
      <c r="FA638" s="1372"/>
    </row>
    <row r="639" spans="2:157" ht="13" customHeight="1">
      <c r="B639" s="1411" t="s">
        <v>128</v>
      </c>
      <c r="C639" s="1412"/>
      <c r="D639" s="1412"/>
      <c r="E639" s="1412"/>
      <c r="F639" s="1412"/>
      <c r="G639" s="1412"/>
      <c r="H639" s="1412"/>
      <c r="I639" s="1412"/>
      <c r="J639" s="1412"/>
      <c r="K639" s="1412"/>
      <c r="L639" s="1412"/>
      <c r="M639" s="1412"/>
      <c r="N639" s="1412"/>
      <c r="O639" s="1412"/>
      <c r="P639" s="1412"/>
      <c r="Q639" s="1412"/>
      <c r="R639" s="1412"/>
      <c r="S639" s="1412"/>
      <c r="T639" s="1412"/>
      <c r="U639" s="1412"/>
      <c r="V639" s="1412"/>
      <c r="W639" s="1412"/>
      <c r="X639" s="1412"/>
      <c r="Y639" s="1412"/>
      <c r="Z639" s="1412"/>
      <c r="AA639" s="1412"/>
      <c r="AB639" s="1412"/>
      <c r="AC639" s="1412"/>
      <c r="AD639" s="1412"/>
      <c r="AE639" s="1412"/>
      <c r="AF639" s="1412"/>
      <c r="AG639" s="1412"/>
      <c r="AH639" s="1412"/>
      <c r="AI639" s="1412"/>
      <c r="AJ639" s="1412"/>
      <c r="AK639" s="1412"/>
      <c r="AL639" s="1412"/>
      <c r="AM639" s="1412"/>
      <c r="AN639" s="1414"/>
      <c r="AO639" s="1475">
        <f>SUM(AO627:AR638)</f>
        <v>28311210</v>
      </c>
      <c r="AP639" s="1476"/>
      <c r="AQ639" s="1476"/>
      <c r="AR639" s="1476"/>
      <c r="AS639" s="147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2" t="e">
        <f t="shared" si="2"/>
        <v>#VALUE!</v>
      </c>
      <c r="DY639" s="1372"/>
      <c r="DZ639" s="1372"/>
      <c r="EA639" s="1372"/>
      <c r="EB639" s="1372"/>
      <c r="EC639" s="1372" t="e">
        <f t="shared" si="3"/>
        <v>#VALUE!</v>
      </c>
      <c r="ED639" s="1372"/>
      <c r="EE639" s="1372"/>
      <c r="EF639" s="1372"/>
      <c r="EG639" s="1372"/>
      <c r="EH639" s="1372">
        <f t="shared" si="4"/>
        <v>227.86956521739131</v>
      </c>
      <c r="EI639" s="1372"/>
      <c r="EJ639" s="1372"/>
      <c r="EK639" s="1372"/>
      <c r="EL639" s="1372"/>
      <c r="EM639" s="1372" t="e">
        <f t="shared" si="5"/>
        <v>#VALUE!</v>
      </c>
      <c r="EN639" s="1372"/>
      <c r="EO639" s="1372"/>
      <c r="EP639" s="1372"/>
      <c r="EQ639" s="1372"/>
      <c r="ER639" s="1372" t="e">
        <f t="shared" si="6"/>
        <v>#VALUE!</v>
      </c>
      <c r="ES639" s="1372"/>
      <c r="ET639" s="1372"/>
      <c r="EU639" s="1372"/>
      <c r="EV639" s="1372"/>
      <c r="EW639" s="1372" t="e">
        <f t="shared" si="7"/>
        <v>#VALUE!</v>
      </c>
      <c r="EX639" s="1372"/>
      <c r="EY639" s="1372"/>
      <c r="EZ639" s="1372"/>
      <c r="FA639" s="1372"/>
    </row>
    <row r="640" spans="2:157" ht="13" customHeight="1">
      <c r="B640" s="1411" t="s">
        <v>267</v>
      </c>
      <c r="C640" s="1412"/>
      <c r="D640" s="1412"/>
      <c r="E640" s="1412"/>
      <c r="F640" s="1412"/>
      <c r="G640" s="1412"/>
      <c r="H640" s="1412"/>
      <c r="I640" s="1412"/>
      <c r="J640" s="1412"/>
      <c r="K640" s="1412"/>
      <c r="L640" s="1412"/>
      <c r="M640" s="1412"/>
      <c r="N640" s="1412"/>
      <c r="O640" s="1412"/>
      <c r="P640" s="1412"/>
      <c r="Q640" s="1412"/>
      <c r="R640" s="1412"/>
      <c r="S640" s="1412"/>
      <c r="T640" s="1412"/>
      <c r="U640" s="1412"/>
      <c r="V640" s="1412"/>
      <c r="W640" s="1412"/>
      <c r="X640" s="1412"/>
      <c r="Y640" s="1412"/>
      <c r="Z640" s="1412"/>
      <c r="AA640" s="1412"/>
      <c r="AB640" s="1412"/>
      <c r="AC640" s="1412"/>
      <c r="AD640" s="1412"/>
      <c r="AE640" s="1412"/>
      <c r="AF640" s="1412"/>
      <c r="AG640" s="1412"/>
      <c r="AH640" s="1412"/>
      <c r="AI640" s="1412"/>
      <c r="AJ640" s="1412"/>
      <c r="AK640" s="1412"/>
      <c r="AL640" s="1412"/>
      <c r="AM640" s="1412"/>
      <c r="AN640" s="1414"/>
      <c r="AO640" s="1478">
        <v>21094794</v>
      </c>
      <c r="AP640" s="1341"/>
      <c r="AQ640" s="1341"/>
      <c r="AR640" s="1341"/>
      <c r="AS640" s="1342"/>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2" t="e">
        <f t="shared" si="2"/>
        <v>#VALUE!</v>
      </c>
      <c r="DY640" s="1372"/>
      <c r="DZ640" s="1372"/>
      <c r="EA640" s="1372"/>
      <c r="EB640" s="1372"/>
      <c r="EC640" s="1372" t="e">
        <f t="shared" si="3"/>
        <v>#VALUE!</v>
      </c>
      <c r="ED640" s="1372"/>
      <c r="EE640" s="1372"/>
      <c r="EF640" s="1372"/>
      <c r="EG640" s="1372"/>
      <c r="EH640" s="1372">
        <f t="shared" si="4"/>
        <v>1566.2173913043478</v>
      </c>
      <c r="EI640" s="1372"/>
      <c r="EJ640" s="1372"/>
      <c r="EK640" s="1372"/>
      <c r="EL640" s="1372"/>
      <c r="EM640" s="1372" t="e">
        <f t="shared" si="5"/>
        <v>#VALUE!</v>
      </c>
      <c r="EN640" s="1372"/>
      <c r="EO640" s="1372"/>
      <c r="EP640" s="1372"/>
      <c r="EQ640" s="1372"/>
      <c r="ER640" s="1372" t="e">
        <f t="shared" si="6"/>
        <v>#VALUE!</v>
      </c>
      <c r="ES640" s="1372"/>
      <c r="ET640" s="1372"/>
      <c r="EU640" s="1372"/>
      <c r="EV640" s="1372"/>
      <c r="EW640" s="1372" t="e">
        <f t="shared" si="7"/>
        <v>#VALUE!</v>
      </c>
      <c r="EX640" s="1372"/>
      <c r="EY640" s="1372"/>
      <c r="EZ640" s="1372"/>
      <c r="FA640" s="1372"/>
    </row>
    <row r="641" spans="1:157" ht="13" customHeight="1">
      <c r="B641" s="1837" t="s">
        <v>268</v>
      </c>
      <c r="C641" s="1413"/>
      <c r="D641" s="1413"/>
      <c r="E641" s="1413"/>
      <c r="F641" s="1413"/>
      <c r="G641" s="1413"/>
      <c r="H641" s="1413"/>
      <c r="I641" s="1413"/>
      <c r="J641" s="1413"/>
      <c r="K641" s="1413"/>
      <c r="L641" s="1413"/>
      <c r="M641" s="1413"/>
      <c r="N641" s="1413"/>
      <c r="O641" s="1413"/>
      <c r="P641" s="1413"/>
      <c r="Q641" s="1413"/>
      <c r="R641" s="1413"/>
      <c r="S641" s="1413"/>
      <c r="T641" s="1413"/>
      <c r="U641" s="1413"/>
      <c r="V641" s="1413"/>
      <c r="W641" s="1413"/>
      <c r="X641" s="1413"/>
      <c r="Y641" s="1413"/>
      <c r="Z641" s="1413"/>
      <c r="AA641" s="1413"/>
      <c r="AB641" s="1413"/>
      <c r="AC641" s="1413"/>
      <c r="AD641" s="1413"/>
      <c r="AE641" s="1413"/>
      <c r="AF641" s="1413"/>
      <c r="AG641" s="1413"/>
      <c r="AH641" s="1413"/>
      <c r="AI641" s="1413"/>
      <c r="AJ641" s="1413"/>
      <c r="AK641" s="1413"/>
      <c r="AL641" s="1413"/>
      <c r="AM641" s="1413"/>
      <c r="AN641" s="1838"/>
      <c r="AO641" s="1475">
        <f>AO639+AO640</f>
        <v>49406004</v>
      </c>
      <c r="AP641" s="1476"/>
      <c r="AQ641" s="1476"/>
      <c r="AR641" s="1476"/>
      <c r="AS641" s="147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2" t="e">
        <f t="shared" si="2"/>
        <v>#VALUE!</v>
      </c>
      <c r="DY641" s="1372"/>
      <c r="DZ641" s="1372"/>
      <c r="EA641" s="1372"/>
      <c r="EB641" s="1372"/>
      <c r="EC641" s="1372" t="e">
        <f t="shared" si="3"/>
        <v>#VALUE!</v>
      </c>
      <c r="ED641" s="1372"/>
      <c r="EE641" s="1372"/>
      <c r="EF641" s="1372"/>
      <c r="EG641" s="1372"/>
      <c r="EH641" s="1372" t="e">
        <f t="shared" si="4"/>
        <v>#VALUE!</v>
      </c>
      <c r="EI641" s="1372"/>
      <c r="EJ641" s="1372"/>
      <c r="EK641" s="1372"/>
      <c r="EL641" s="1372"/>
      <c r="EM641" s="1372">
        <f t="shared" si="5"/>
        <v>149.21739130434781</v>
      </c>
      <c r="EN641" s="1372"/>
      <c r="EO641" s="1372"/>
      <c r="EP641" s="1372"/>
      <c r="EQ641" s="1372"/>
      <c r="ER641" s="1372" t="e">
        <f t="shared" si="6"/>
        <v>#VALUE!</v>
      </c>
      <c r="ES641" s="1372"/>
      <c r="ET641" s="1372"/>
      <c r="EU641" s="1372"/>
      <c r="EV641" s="1372"/>
      <c r="EW641" s="1372" t="e">
        <f t="shared" si="7"/>
        <v>#VALUE!</v>
      </c>
      <c r="EX641" s="1372"/>
      <c r="EY641" s="1372"/>
      <c r="EZ641" s="1372"/>
      <c r="FA641" s="1372"/>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2" t="e">
        <f t="shared" si="2"/>
        <v>#VALUE!</v>
      </c>
      <c r="DY642" s="1372"/>
      <c r="DZ642" s="1372"/>
      <c r="EA642" s="1372"/>
      <c r="EB642" s="1372"/>
      <c r="EC642" s="1372" t="e">
        <f t="shared" si="3"/>
        <v>#VALUE!</v>
      </c>
      <c r="ED642" s="1372"/>
      <c r="EE642" s="1372"/>
      <c r="EF642" s="1372"/>
      <c r="EG642" s="1372"/>
      <c r="EH642" s="1372" t="e">
        <f t="shared" si="4"/>
        <v>#VALUE!</v>
      </c>
      <c r="EI642" s="1372"/>
      <c r="EJ642" s="1372"/>
      <c r="EK642" s="1372"/>
      <c r="EL642" s="1372"/>
      <c r="EM642" s="1372">
        <f t="shared" si="5"/>
        <v>261.39130434782606</v>
      </c>
      <c r="EN642" s="1372"/>
      <c r="EO642" s="1372"/>
      <c r="EP642" s="1372"/>
      <c r="EQ642" s="1372"/>
      <c r="ER642" s="1372" t="e">
        <f t="shared" si="6"/>
        <v>#VALUE!</v>
      </c>
      <c r="ES642" s="1372"/>
      <c r="ET642" s="1372"/>
      <c r="EU642" s="1372"/>
      <c r="EV642" s="1372"/>
      <c r="EW642" s="1372" t="e">
        <f t="shared" si="7"/>
        <v>#VALUE!</v>
      </c>
      <c r="EX642" s="1372"/>
      <c r="EY642" s="1372"/>
      <c r="EZ642" s="1372"/>
      <c r="FA642" s="1372"/>
    </row>
    <row r="643" spans="1:157" ht="13" customHeight="1">
      <c r="A643" s="55" t="s">
        <v>112</v>
      </c>
      <c r="B643" t="s">
        <v>464</v>
      </c>
      <c r="G643" s="1486" t="str">
        <f>C627</f>
        <v>Citibank, N.A.</v>
      </c>
      <c r="H643" s="1486"/>
      <c r="I643" s="1486"/>
      <c r="J643" s="1486"/>
      <c r="K643" s="1486"/>
      <c r="L643" s="1486"/>
      <c r="M643" s="1486"/>
      <c r="N643" s="1486"/>
      <c r="O643" s="1486"/>
      <c r="P643" s="1486"/>
      <c r="Q643" s="1486"/>
      <c r="R643" s="1486"/>
      <c r="S643" s="8"/>
      <c r="T643" s="55" t="s">
        <v>113</v>
      </c>
      <c r="U643" t="s">
        <v>464</v>
      </c>
      <c r="Z643" s="1486" t="str">
        <f>C628</f>
        <v>CIC Opportunities Fund IV, LLC</v>
      </c>
      <c r="AA643" s="1486"/>
      <c r="AB643" s="1486"/>
      <c r="AC643" s="1486"/>
      <c r="AD643" s="1486"/>
      <c r="AE643" s="1486"/>
      <c r="AF643" s="1486"/>
      <c r="AG643" s="1486"/>
      <c r="AH643" s="1486"/>
      <c r="AI643" s="1486"/>
      <c r="AJ643" s="1486"/>
      <c r="AK643" s="148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2" t="e">
        <f t="shared" si="2"/>
        <v>#VALUE!</v>
      </c>
      <c r="DY643" s="1372"/>
      <c r="DZ643" s="1372"/>
      <c r="EA643" s="1372"/>
      <c r="EB643" s="1372"/>
      <c r="EC643" s="1372" t="e">
        <f t="shared" si="3"/>
        <v>#VALUE!</v>
      </c>
      <c r="ED643" s="1372"/>
      <c r="EE643" s="1372"/>
      <c r="EF643" s="1372"/>
      <c r="EG643" s="1372"/>
      <c r="EH643" s="1372" t="e">
        <f t="shared" si="4"/>
        <v>#VALUE!</v>
      </c>
      <c r="EI643" s="1372"/>
      <c r="EJ643" s="1372"/>
      <c r="EK643" s="1372"/>
      <c r="EL643" s="1372"/>
      <c r="EM643" s="1372">
        <f t="shared" si="5"/>
        <v>1799.0434782608695</v>
      </c>
      <c r="EN643" s="1372"/>
      <c r="EO643" s="1372"/>
      <c r="EP643" s="1372"/>
      <c r="EQ643" s="1372"/>
      <c r="ER643" s="1372" t="e">
        <f t="shared" si="6"/>
        <v>#VALUE!</v>
      </c>
      <c r="ES643" s="1372"/>
      <c r="ET643" s="1372"/>
      <c r="EU643" s="1372"/>
      <c r="EV643" s="1372"/>
      <c r="EW643" s="1372" t="e">
        <f t="shared" si="7"/>
        <v>#VALUE!</v>
      </c>
      <c r="EX643" s="1372"/>
      <c r="EY643" s="1372"/>
      <c r="EZ643" s="1372"/>
      <c r="FA643" s="1372"/>
    </row>
    <row r="644" spans="1:157" ht="13" customHeight="1">
      <c r="A644" s="22"/>
      <c r="B644" t="s">
        <v>85</v>
      </c>
      <c r="G644" s="1410" t="s">
        <v>2712</v>
      </c>
      <c r="H644" s="1410"/>
      <c r="I644" s="1410"/>
      <c r="J644" s="1410"/>
      <c r="K644" s="1410"/>
      <c r="L644" s="1410"/>
      <c r="M644" s="1410"/>
      <c r="N644" s="1410"/>
      <c r="O644" s="1410"/>
      <c r="P644" s="1410"/>
      <c r="Q644" s="1410"/>
      <c r="R644" s="1410"/>
      <c r="S644" s="8"/>
      <c r="T644" s="22"/>
      <c r="U644" t="s">
        <v>85</v>
      </c>
      <c r="Z644" s="1410" t="s">
        <v>2640</v>
      </c>
      <c r="AA644" s="1410"/>
      <c r="AB644" s="1410"/>
      <c r="AC644" s="1410"/>
      <c r="AD644" s="1410"/>
      <c r="AE644" s="1410"/>
      <c r="AF644" s="1410"/>
      <c r="AG644" s="1410"/>
      <c r="AH644" s="1410"/>
      <c r="AI644" s="1410"/>
      <c r="AJ644" s="1410"/>
      <c r="AK644" s="1410"/>
      <c r="AV644" s="3"/>
      <c r="AW644" s="3"/>
      <c r="AX644" s="3"/>
      <c r="AY644" s="3"/>
      <c r="AZ644" s="3"/>
      <c r="BA644" s="3"/>
      <c r="BB644" s="3"/>
      <c r="BC644" s="3"/>
      <c r="BD644" s="3"/>
      <c r="BE644" s="3"/>
      <c r="BF644" s="3"/>
      <c r="BG644" s="3"/>
      <c r="BH644" s="3"/>
      <c r="BI644" s="3"/>
      <c r="BJ644" s="3"/>
      <c r="BK644" s="3"/>
      <c r="BL644" s="3"/>
      <c r="BM644" s="3"/>
      <c r="DX644" s="1372" t="e">
        <f t="shared" si="2"/>
        <v>#VALUE!</v>
      </c>
      <c r="DY644" s="1372"/>
      <c r="DZ644" s="1372"/>
      <c r="EA644" s="1372"/>
      <c r="EB644" s="1372"/>
      <c r="EC644" s="1372" t="e">
        <f t="shared" si="3"/>
        <v>#VALUE!</v>
      </c>
      <c r="ED644" s="1372"/>
      <c r="EE644" s="1372"/>
      <c r="EF644" s="1372"/>
      <c r="EG644" s="1372"/>
      <c r="EH644" s="1372" t="e">
        <f t="shared" si="4"/>
        <v>#VALUE!</v>
      </c>
      <c r="EI644" s="1372"/>
      <c r="EJ644" s="1372"/>
      <c r="EK644" s="1372"/>
      <c r="EL644" s="1372"/>
      <c r="EM644" s="1372" t="e">
        <f t="shared" si="5"/>
        <v>#VALUE!</v>
      </c>
      <c r="EN644" s="1372"/>
      <c r="EO644" s="1372"/>
      <c r="EP644" s="1372"/>
      <c r="EQ644" s="1372"/>
      <c r="ER644" s="1372" t="e">
        <f t="shared" si="6"/>
        <v>#VALUE!</v>
      </c>
      <c r="ES644" s="1372"/>
      <c r="ET644" s="1372"/>
      <c r="EU644" s="1372"/>
      <c r="EV644" s="1372"/>
      <c r="EW644" s="1372" t="e">
        <f t="shared" si="7"/>
        <v>#VALUE!</v>
      </c>
      <c r="EX644" s="1372"/>
      <c r="EY644" s="1372"/>
      <c r="EZ644" s="1372"/>
      <c r="FA644" s="1372"/>
    </row>
    <row r="645" spans="1:157" ht="13" customHeight="1">
      <c r="A645" s="22"/>
      <c r="B645" t="s">
        <v>581</v>
      </c>
      <c r="G645" s="1410" t="s">
        <v>2726</v>
      </c>
      <c r="H645" s="1410"/>
      <c r="I645" s="1410"/>
      <c r="J645" s="1410"/>
      <c r="K645" s="1410"/>
      <c r="L645" s="1410"/>
      <c r="M645" s="1410"/>
      <c r="N645" s="1410"/>
      <c r="O645" s="1410"/>
      <c r="P645" s="1410"/>
      <c r="Q645" s="1410"/>
      <c r="R645" s="1410"/>
      <c r="T645" s="22"/>
      <c r="U645" t="s">
        <v>581</v>
      </c>
      <c r="Z645" s="1374" t="s">
        <v>2721</v>
      </c>
      <c r="AA645" s="1374"/>
      <c r="AB645" s="1374"/>
      <c r="AC645" s="1374"/>
      <c r="AD645" s="1374"/>
      <c r="AE645" s="1374"/>
      <c r="AF645" s="1374"/>
      <c r="AG645" s="1374"/>
      <c r="AH645" s="1374"/>
      <c r="AI645" s="1374"/>
      <c r="AJ645" s="1374"/>
      <c r="AK645" s="1374"/>
      <c r="AV645" s="3"/>
      <c r="AW645" s="3"/>
      <c r="AX645" s="3"/>
      <c r="AY645" s="3"/>
      <c r="AZ645" s="3"/>
      <c r="BA645" s="3"/>
      <c r="BB645" s="3"/>
      <c r="BC645" s="3"/>
      <c r="BD645" s="3"/>
      <c r="BE645" s="3"/>
      <c r="BF645" s="3"/>
      <c r="BG645" s="3"/>
      <c r="BH645" s="3"/>
      <c r="BI645" s="3"/>
      <c r="BJ645" s="3"/>
      <c r="BK645" s="3"/>
      <c r="BL645" s="3"/>
      <c r="BM645" s="3"/>
      <c r="DX645" s="1372" t="e">
        <f t="shared" si="2"/>
        <v>#VALUE!</v>
      </c>
      <c r="DY645" s="1372"/>
      <c r="DZ645" s="1372"/>
      <c r="EA645" s="1372"/>
      <c r="EB645" s="1372"/>
      <c r="EC645" s="1372" t="e">
        <f t="shared" si="3"/>
        <v>#VALUE!</v>
      </c>
      <c r="ED645" s="1372"/>
      <c r="EE645" s="1372"/>
      <c r="EF645" s="1372"/>
      <c r="EG645" s="1372"/>
      <c r="EH645" s="1372" t="e">
        <f t="shared" si="4"/>
        <v>#VALUE!</v>
      </c>
      <c r="EI645" s="1372"/>
      <c r="EJ645" s="1372"/>
      <c r="EK645" s="1372"/>
      <c r="EL645" s="1372"/>
      <c r="EM645" s="1372" t="e">
        <f t="shared" si="5"/>
        <v>#VALUE!</v>
      </c>
      <c r="EN645" s="1372"/>
      <c r="EO645" s="1372"/>
      <c r="EP645" s="1372"/>
      <c r="EQ645" s="1372"/>
      <c r="ER645" s="1372" t="e">
        <f t="shared" si="6"/>
        <v>#VALUE!</v>
      </c>
      <c r="ES645" s="1372"/>
      <c r="ET645" s="1372"/>
      <c r="EU645" s="1372"/>
      <c r="EV645" s="1372"/>
      <c r="EW645" s="1372" t="e">
        <f t="shared" si="7"/>
        <v>#VALUE!</v>
      </c>
      <c r="EX645" s="1372"/>
      <c r="EY645" s="1372"/>
      <c r="EZ645" s="1372"/>
      <c r="FA645" s="1372"/>
    </row>
    <row r="646" spans="1:157" ht="13" customHeight="1">
      <c r="A646" s="22"/>
      <c r="B646" t="s">
        <v>17</v>
      </c>
      <c r="G646" s="1410" t="s">
        <v>2714</v>
      </c>
      <c r="H646" s="1410"/>
      <c r="I646" s="1410"/>
      <c r="J646" s="1410"/>
      <c r="K646" s="1410"/>
      <c r="L646" s="1410"/>
      <c r="M646" s="1410"/>
      <c r="N646" s="1410"/>
      <c r="O646" s="1410"/>
      <c r="P646" s="1410"/>
      <c r="Q646" s="1410"/>
      <c r="R646" s="1410"/>
      <c r="S646" s="8"/>
      <c r="T646" s="22"/>
      <c r="U646" t="s">
        <v>17</v>
      </c>
      <c r="Z646" s="1374" t="s">
        <v>2625</v>
      </c>
      <c r="AA646" s="1374"/>
      <c r="AB646" s="1374"/>
      <c r="AC646" s="1374"/>
      <c r="AD646" s="1374"/>
      <c r="AE646" s="1374"/>
      <c r="AF646" s="1374"/>
      <c r="AG646" s="1374"/>
      <c r="AH646" s="1374"/>
      <c r="AI646" s="1374"/>
      <c r="AJ646" s="1374"/>
      <c r="AK646" s="1374"/>
      <c r="AZ646" s="3"/>
      <c r="BA646" s="3"/>
      <c r="BB646" s="3"/>
      <c r="BC646" s="3"/>
      <c r="BD646" s="3"/>
      <c r="BE646" s="3"/>
      <c r="BF646" s="3"/>
      <c r="BG646" s="3"/>
      <c r="BH646" s="3"/>
      <c r="BI646" s="3"/>
      <c r="BJ646" s="3"/>
      <c r="BK646" s="3"/>
      <c r="BL646" s="3"/>
      <c r="BM646" s="3"/>
      <c r="DX646" s="1372" t="e">
        <f t="shared" si="2"/>
        <v>#VALUE!</v>
      </c>
      <c r="DY646" s="1372"/>
      <c r="DZ646" s="1372"/>
      <c r="EA646" s="1372"/>
      <c r="EB646" s="1372"/>
      <c r="EC646" s="1372" t="e">
        <f t="shared" si="3"/>
        <v>#VALUE!</v>
      </c>
      <c r="ED646" s="1372"/>
      <c r="EE646" s="1372"/>
      <c r="EF646" s="1372"/>
      <c r="EG646" s="1372"/>
      <c r="EH646" s="1372" t="e">
        <f t="shared" si="4"/>
        <v>#VALUE!</v>
      </c>
      <c r="EI646" s="1372"/>
      <c r="EJ646" s="1372"/>
      <c r="EK646" s="1372"/>
      <c r="EL646" s="1372"/>
      <c r="EM646" s="1372" t="e">
        <f t="shared" si="5"/>
        <v>#VALUE!</v>
      </c>
      <c r="EN646" s="1372"/>
      <c r="EO646" s="1372"/>
      <c r="EP646" s="1372"/>
      <c r="EQ646" s="1372"/>
      <c r="ER646" s="1372" t="e">
        <f t="shared" si="6"/>
        <v>#VALUE!</v>
      </c>
      <c r="ES646" s="1372"/>
      <c r="ET646" s="1372"/>
      <c r="EU646" s="1372"/>
      <c r="EV646" s="1372"/>
      <c r="EW646" s="1372" t="e">
        <f t="shared" si="7"/>
        <v>#VALUE!</v>
      </c>
      <c r="EX646" s="1372"/>
      <c r="EY646" s="1372"/>
      <c r="EZ646" s="1372"/>
      <c r="FA646" s="1372"/>
    </row>
    <row r="647" spans="1:157" ht="13" customHeight="1">
      <c r="A647" s="22"/>
      <c r="B647" t="s">
        <v>316</v>
      </c>
      <c r="G647" s="1490" t="s">
        <v>2715</v>
      </c>
      <c r="H647" s="1490"/>
      <c r="I647" s="1490"/>
      <c r="J647" s="1490"/>
      <c r="K647" s="1490"/>
      <c r="L647" s="1490"/>
      <c r="O647" s="33" t="s">
        <v>206</v>
      </c>
      <c r="P647" s="1474"/>
      <c r="Q647" s="1474"/>
      <c r="R647" s="1474"/>
      <c r="S647" s="10"/>
      <c r="T647" s="22"/>
      <c r="U647" t="s">
        <v>316</v>
      </c>
      <c r="Z647" s="1490" t="s">
        <v>2626</v>
      </c>
      <c r="AA647" s="1490"/>
      <c r="AB647" s="1490"/>
      <c r="AC647" s="1490"/>
      <c r="AD647" s="1490"/>
      <c r="AE647" s="1490"/>
      <c r="AH647" s="33" t="s">
        <v>206</v>
      </c>
      <c r="AI647" s="1474"/>
      <c r="AJ647" s="1474"/>
      <c r="AK647" s="1474"/>
      <c r="AZ647" s="34"/>
      <c r="BA647" s="34"/>
      <c r="BB647" s="34"/>
      <c r="BC647" s="34"/>
      <c r="BD647" s="34"/>
      <c r="BE647" s="34"/>
      <c r="BF647" s="34"/>
      <c r="BG647" s="34"/>
      <c r="BH647" s="34"/>
      <c r="BI647" s="34"/>
      <c r="BJ647" s="34"/>
      <c r="BK647" s="34"/>
      <c r="BL647" s="34"/>
      <c r="BM647" s="34"/>
      <c r="DX647" s="1372" t="e">
        <f t="shared" si="2"/>
        <v>#VALUE!</v>
      </c>
      <c r="DY647" s="1372"/>
      <c r="DZ647" s="1372"/>
      <c r="EA647" s="1372"/>
      <c r="EB647" s="1372"/>
      <c r="EC647" s="1372" t="e">
        <f t="shared" si="3"/>
        <v>#VALUE!</v>
      </c>
      <c r="ED647" s="1372"/>
      <c r="EE647" s="1372"/>
      <c r="EF647" s="1372"/>
      <c r="EG647" s="1372"/>
      <c r="EH647" s="1372" t="e">
        <f t="shared" si="4"/>
        <v>#VALUE!</v>
      </c>
      <c r="EI647" s="1372"/>
      <c r="EJ647" s="1372"/>
      <c r="EK647" s="1372"/>
      <c r="EL647" s="1372"/>
      <c r="EM647" s="1372" t="e">
        <f t="shared" si="5"/>
        <v>#VALUE!</v>
      </c>
      <c r="EN647" s="1372"/>
      <c r="EO647" s="1372"/>
      <c r="EP647" s="1372"/>
      <c r="EQ647" s="1372"/>
      <c r="ER647" s="1372" t="e">
        <f t="shared" si="6"/>
        <v>#VALUE!</v>
      </c>
      <c r="ES647" s="1372"/>
      <c r="ET647" s="1372"/>
      <c r="EU647" s="1372"/>
      <c r="EV647" s="1372"/>
      <c r="EW647" s="1372" t="e">
        <f t="shared" si="7"/>
        <v>#VALUE!</v>
      </c>
      <c r="EX647" s="1372"/>
      <c r="EY647" s="1372"/>
      <c r="EZ647" s="1372"/>
      <c r="FA647" s="1372"/>
    </row>
    <row r="648" spans="1:157" ht="13" customHeight="1">
      <c r="A648" s="22"/>
      <c r="B648" t="s">
        <v>18</v>
      </c>
      <c r="H648" s="1410" t="s">
        <v>2727</v>
      </c>
      <c r="I648" s="1410"/>
      <c r="J648" s="1410"/>
      <c r="K648" s="1410"/>
      <c r="L648" s="1410"/>
      <c r="M648" s="1410"/>
      <c r="N648" s="1410"/>
      <c r="O648" s="1410"/>
      <c r="P648" s="1410"/>
      <c r="Q648" s="1410"/>
      <c r="R648" s="1410"/>
      <c r="S648" s="8"/>
      <c r="T648" s="22"/>
      <c r="U648" t="s">
        <v>18</v>
      </c>
      <c r="AA648" s="1410" t="s">
        <v>2725</v>
      </c>
      <c r="AB648" s="1410"/>
      <c r="AC648" s="1410"/>
      <c r="AD648" s="1410"/>
      <c r="AE648" s="1410"/>
      <c r="AF648" s="1410"/>
      <c r="AG648" s="1410"/>
      <c r="AH648" s="1410"/>
      <c r="AI648" s="1410"/>
      <c r="AJ648" s="1410"/>
      <c r="AK648" s="1410"/>
      <c r="AZ648" s="34"/>
      <c r="BA648" s="34"/>
      <c r="BB648" s="34"/>
      <c r="BC648" s="34"/>
      <c r="BD648" s="34"/>
      <c r="BE648" s="34"/>
      <c r="BF648" s="34"/>
      <c r="BG648" s="34"/>
      <c r="BH648" s="34"/>
      <c r="BI648" s="34"/>
      <c r="BJ648" s="34"/>
      <c r="BK648" s="34"/>
      <c r="BL648" s="34"/>
      <c r="BM648" s="34"/>
      <c r="DX648" s="1372" t="e">
        <f t="shared" si="2"/>
        <v>#VALUE!</v>
      </c>
      <c r="DY648" s="1372"/>
      <c r="DZ648" s="1372"/>
      <c r="EA648" s="1372"/>
      <c r="EB648" s="1372"/>
      <c r="EC648" s="1372" t="e">
        <f t="shared" si="3"/>
        <v>#VALUE!</v>
      </c>
      <c r="ED648" s="1372"/>
      <c r="EE648" s="1372"/>
      <c r="EF648" s="1372"/>
      <c r="EG648" s="1372"/>
      <c r="EH648" s="1372" t="e">
        <f t="shared" si="4"/>
        <v>#VALUE!</v>
      </c>
      <c r="EI648" s="1372"/>
      <c r="EJ648" s="1372"/>
      <c r="EK648" s="1372"/>
      <c r="EL648" s="1372"/>
      <c r="EM648" s="1372" t="e">
        <f t="shared" si="5"/>
        <v>#VALUE!</v>
      </c>
      <c r="EN648" s="1372"/>
      <c r="EO648" s="1372"/>
      <c r="EP648" s="1372"/>
      <c r="EQ648" s="1372"/>
      <c r="ER648" s="1372" t="e">
        <f t="shared" si="6"/>
        <v>#VALUE!</v>
      </c>
      <c r="ES648" s="1372"/>
      <c r="ET648" s="1372"/>
      <c r="EU648" s="1372"/>
      <c r="EV648" s="1372"/>
      <c r="EW648" s="1372" t="e">
        <f t="shared" si="7"/>
        <v>#VALUE!</v>
      </c>
      <c r="EX648" s="1372"/>
      <c r="EY648" s="1372"/>
      <c r="EZ648" s="1372"/>
      <c r="FA648" s="1372"/>
    </row>
    <row r="649" spans="1:157" ht="13" customHeight="1">
      <c r="A649" s="22"/>
      <c r="B649" t="s">
        <v>20</v>
      </c>
      <c r="N649" s="1418" t="s">
        <v>546</v>
      </c>
      <c r="O649" s="1418"/>
      <c r="T649" s="22"/>
      <c r="U649" t="s">
        <v>20</v>
      </c>
      <c r="AG649" s="1418" t="s">
        <v>546</v>
      </c>
      <c r="AH649" s="1418"/>
      <c r="AZ649" s="34"/>
      <c r="BA649" s="34"/>
      <c r="BB649" s="34"/>
      <c r="BC649" s="34"/>
      <c r="BD649" s="34"/>
      <c r="BE649" s="34"/>
      <c r="BF649" s="34"/>
      <c r="BG649" s="34"/>
      <c r="BH649" s="34"/>
      <c r="BI649" s="34"/>
      <c r="BJ649" s="34"/>
      <c r="BK649" s="34"/>
      <c r="BL649" s="34"/>
      <c r="BM649" s="34"/>
      <c r="DX649" s="1372" t="e">
        <f t="shared" si="2"/>
        <v>#VALUE!</v>
      </c>
      <c r="DY649" s="1372"/>
      <c r="DZ649" s="1372"/>
      <c r="EA649" s="1372"/>
      <c r="EB649" s="1372"/>
      <c r="EC649" s="1372" t="e">
        <f t="shared" si="3"/>
        <v>#VALUE!</v>
      </c>
      <c r="ED649" s="1372"/>
      <c r="EE649" s="1372"/>
      <c r="EF649" s="1372"/>
      <c r="EG649" s="1372"/>
      <c r="EH649" s="1372" t="e">
        <f t="shared" si="4"/>
        <v>#VALUE!</v>
      </c>
      <c r="EI649" s="1372"/>
      <c r="EJ649" s="1372"/>
      <c r="EK649" s="1372"/>
      <c r="EL649" s="1372"/>
      <c r="EM649" s="1372" t="e">
        <f t="shared" si="5"/>
        <v>#VALUE!</v>
      </c>
      <c r="EN649" s="1372"/>
      <c r="EO649" s="1372"/>
      <c r="EP649" s="1372"/>
      <c r="EQ649" s="1372"/>
      <c r="ER649" s="1372" t="e">
        <f t="shared" si="6"/>
        <v>#VALUE!</v>
      </c>
      <c r="ES649" s="1372"/>
      <c r="ET649" s="1372"/>
      <c r="EU649" s="1372"/>
      <c r="EV649" s="1372"/>
      <c r="EW649" s="1372" t="e">
        <f t="shared" si="7"/>
        <v>#VALUE!</v>
      </c>
      <c r="EX649" s="1372"/>
      <c r="EY649" s="1372"/>
      <c r="EZ649" s="1372"/>
      <c r="FA649" s="1372"/>
    </row>
    <row r="650" spans="1:157" ht="13" customHeight="1">
      <c r="A650" s="22"/>
      <c r="T650" s="22"/>
      <c r="AZ650" s="34"/>
      <c r="BA650" s="34"/>
      <c r="BB650" s="34"/>
      <c r="BC650" s="34"/>
      <c r="BD650" s="34"/>
      <c r="BE650" s="34"/>
      <c r="BF650" s="34"/>
      <c r="BG650" s="34"/>
      <c r="BH650" s="34"/>
      <c r="BI650" s="34"/>
      <c r="BJ650" s="34"/>
      <c r="BK650" s="34"/>
      <c r="BL650" s="34"/>
      <c r="BM650" s="34"/>
      <c r="DX650" s="1372" t="e">
        <f t="shared" si="2"/>
        <v>#VALUE!</v>
      </c>
      <c r="DY650" s="1372"/>
      <c r="DZ650" s="1372"/>
      <c r="EA650" s="1372"/>
      <c r="EB650" s="1372"/>
      <c r="EC650" s="1372" t="e">
        <f t="shared" si="3"/>
        <v>#VALUE!</v>
      </c>
      <c r="ED650" s="1372"/>
      <c r="EE650" s="1372"/>
      <c r="EF650" s="1372"/>
      <c r="EG650" s="1372"/>
      <c r="EH650" s="1372" t="e">
        <f t="shared" si="4"/>
        <v>#VALUE!</v>
      </c>
      <c r="EI650" s="1372"/>
      <c r="EJ650" s="1372"/>
      <c r="EK650" s="1372"/>
      <c r="EL650" s="1372"/>
      <c r="EM650" s="1372" t="e">
        <f t="shared" si="5"/>
        <v>#VALUE!</v>
      </c>
      <c r="EN650" s="1372"/>
      <c r="EO650" s="1372"/>
      <c r="EP650" s="1372"/>
      <c r="EQ650" s="1372"/>
      <c r="ER650" s="1372" t="e">
        <f t="shared" si="6"/>
        <v>#VALUE!</v>
      </c>
      <c r="ES650" s="1372"/>
      <c r="ET650" s="1372"/>
      <c r="EU650" s="1372"/>
      <c r="EV650" s="1372"/>
      <c r="EW650" s="1372" t="e">
        <f t="shared" si="7"/>
        <v>#VALUE!</v>
      </c>
      <c r="EX650" s="1372"/>
      <c r="EY650" s="1372"/>
      <c r="EZ650" s="1372"/>
      <c r="FA650" s="1372"/>
    </row>
    <row r="651" spans="1:157" ht="13" customHeight="1">
      <c r="A651" s="55" t="s">
        <v>119</v>
      </c>
      <c r="B651" t="s">
        <v>464</v>
      </c>
      <c r="G651" s="1486" t="str">
        <f>C629</f>
        <v>GP Loan</v>
      </c>
      <c r="H651" s="1486"/>
      <c r="I651" s="1486"/>
      <c r="J651" s="1486"/>
      <c r="K651" s="1486"/>
      <c r="L651" s="1486"/>
      <c r="M651" s="1486"/>
      <c r="N651" s="1486"/>
      <c r="O651" s="1486"/>
      <c r="P651" s="1486"/>
      <c r="Q651" s="1486"/>
      <c r="R651" s="1486"/>
      <c r="T651" s="55" t="s">
        <v>582</v>
      </c>
      <c r="U651" t="s">
        <v>464</v>
      </c>
      <c r="Z651" s="1486" t="str">
        <f>C630</f>
        <v>Accrued Soft Interest</v>
      </c>
      <c r="AA651" s="1486"/>
      <c r="AB651" s="1486"/>
      <c r="AC651" s="1486"/>
      <c r="AD651" s="1486"/>
      <c r="AE651" s="1486"/>
      <c r="AF651" s="1486"/>
      <c r="AG651" s="1486"/>
      <c r="AH651" s="1486"/>
      <c r="AI651" s="1486"/>
      <c r="AJ651" s="1486"/>
      <c r="AK651" s="1486"/>
      <c r="AZ651" s="34"/>
      <c r="BA651" s="34"/>
      <c r="BB651" s="34"/>
      <c r="BC651" s="34"/>
      <c r="BD651" s="34"/>
      <c r="BE651" s="34"/>
      <c r="BF651" s="34"/>
      <c r="BG651" s="34"/>
      <c r="BH651" s="34"/>
      <c r="BI651" s="34"/>
      <c r="BJ651" s="34"/>
      <c r="BK651" s="34"/>
      <c r="BL651" s="34"/>
      <c r="BM651" s="34"/>
      <c r="DX651" s="1372" t="e">
        <f t="shared" si="2"/>
        <v>#VALUE!</v>
      </c>
      <c r="DY651" s="1372"/>
      <c r="DZ651" s="1372"/>
      <c r="EA651" s="1372"/>
      <c r="EB651" s="1372"/>
      <c r="EC651" s="1372" t="e">
        <f t="shared" si="3"/>
        <v>#VALUE!</v>
      </c>
      <c r="ED651" s="1372"/>
      <c r="EE651" s="1372"/>
      <c r="EF651" s="1372"/>
      <c r="EG651" s="1372"/>
      <c r="EH651" s="1372" t="e">
        <f t="shared" si="4"/>
        <v>#VALUE!</v>
      </c>
      <c r="EI651" s="1372"/>
      <c r="EJ651" s="1372"/>
      <c r="EK651" s="1372"/>
      <c r="EL651" s="1372"/>
      <c r="EM651" s="1372" t="e">
        <f t="shared" si="5"/>
        <v>#VALUE!</v>
      </c>
      <c r="EN651" s="1372"/>
      <c r="EO651" s="1372"/>
      <c r="EP651" s="1372"/>
      <c r="EQ651" s="1372"/>
      <c r="ER651" s="1372" t="e">
        <f t="shared" si="6"/>
        <v>#VALUE!</v>
      </c>
      <c r="ES651" s="1372"/>
      <c r="ET651" s="1372"/>
      <c r="EU651" s="1372"/>
      <c r="EV651" s="1372"/>
      <c r="EW651" s="1372" t="e">
        <f t="shared" si="7"/>
        <v>#VALUE!</v>
      </c>
      <c r="EX651" s="1372"/>
      <c r="EY651" s="1372"/>
      <c r="EZ651" s="1372"/>
      <c r="FA651" s="1372"/>
    </row>
    <row r="652" spans="1:157" ht="13" customHeight="1">
      <c r="A652" s="22"/>
      <c r="B652" t="s">
        <v>85</v>
      </c>
      <c r="G652" s="1410" t="s">
        <v>2718</v>
      </c>
      <c r="H652" s="1410"/>
      <c r="I652" s="1410"/>
      <c r="J652" s="1410"/>
      <c r="K652" s="1410"/>
      <c r="L652" s="1410"/>
      <c r="M652" s="1410"/>
      <c r="N652" s="1410"/>
      <c r="O652" s="1410"/>
      <c r="P652" s="1410"/>
      <c r="Q652" s="1410"/>
      <c r="R652" s="1410"/>
      <c r="T652" s="22"/>
      <c r="U652" t="s">
        <v>85</v>
      </c>
      <c r="Z652" s="1410" t="s">
        <v>2718</v>
      </c>
      <c r="AA652" s="1410"/>
      <c r="AB652" s="1410"/>
      <c r="AC652" s="1410"/>
      <c r="AD652" s="1410"/>
      <c r="AE652" s="1410"/>
      <c r="AF652" s="1410"/>
      <c r="AG652" s="1410"/>
      <c r="AH652" s="1410"/>
      <c r="AI652" s="1410"/>
      <c r="AJ652" s="1410"/>
      <c r="AK652" s="1410"/>
      <c r="AZ652" s="34"/>
      <c r="BA652" s="34"/>
      <c r="BB652" s="34"/>
      <c r="BC652" s="34"/>
      <c r="BD652" s="34"/>
      <c r="BE652" s="34"/>
      <c r="BF652" s="34"/>
      <c r="BG652" s="34"/>
      <c r="BH652" s="34"/>
      <c r="BI652" s="34"/>
      <c r="BJ652" s="34"/>
      <c r="BK652" s="34"/>
      <c r="BL652" s="34"/>
      <c r="BM652" s="34"/>
      <c r="DX652" s="1372" t="e">
        <f t="shared" si="2"/>
        <v>#VALUE!</v>
      </c>
      <c r="DY652" s="1372"/>
      <c r="DZ652" s="1372"/>
      <c r="EA652" s="1372"/>
      <c r="EB652" s="1372"/>
      <c r="EC652" s="1372" t="e">
        <f t="shared" si="3"/>
        <v>#VALUE!</v>
      </c>
      <c r="ED652" s="1372"/>
      <c r="EE652" s="1372"/>
      <c r="EF652" s="1372"/>
      <c r="EG652" s="1372"/>
      <c r="EH652" s="1372" t="e">
        <f t="shared" si="4"/>
        <v>#VALUE!</v>
      </c>
      <c r="EI652" s="1372"/>
      <c r="EJ652" s="1372"/>
      <c r="EK652" s="1372"/>
      <c r="EL652" s="1372"/>
      <c r="EM652" s="1372" t="e">
        <f t="shared" si="5"/>
        <v>#VALUE!</v>
      </c>
      <c r="EN652" s="1372"/>
      <c r="EO652" s="1372"/>
      <c r="EP652" s="1372"/>
      <c r="EQ652" s="1372"/>
      <c r="ER652" s="1372" t="e">
        <f t="shared" si="6"/>
        <v>#VALUE!</v>
      </c>
      <c r="ES652" s="1372"/>
      <c r="ET652" s="1372"/>
      <c r="EU652" s="1372"/>
      <c r="EV652" s="1372"/>
      <c r="EW652" s="1372" t="e">
        <f t="shared" si="7"/>
        <v>#VALUE!</v>
      </c>
      <c r="EX652" s="1372"/>
      <c r="EY652" s="1372"/>
      <c r="EZ652" s="1372"/>
      <c r="FA652" s="1372"/>
    </row>
    <row r="653" spans="1:157" ht="13" customHeight="1">
      <c r="A653" s="22"/>
      <c r="B653" t="s">
        <v>581</v>
      </c>
      <c r="G653" s="1374" t="s">
        <v>2719</v>
      </c>
      <c r="H653" s="1374"/>
      <c r="I653" s="1374"/>
      <c r="J653" s="1374"/>
      <c r="K653" s="1374"/>
      <c r="L653" s="1374"/>
      <c r="M653" s="1374"/>
      <c r="N653" s="1374"/>
      <c r="O653" s="1374"/>
      <c r="P653" s="1374"/>
      <c r="Q653" s="1374"/>
      <c r="R653" s="1374"/>
      <c r="T653" s="22"/>
      <c r="U653" t="s">
        <v>581</v>
      </c>
      <c r="Z653" s="1374" t="s">
        <v>2719</v>
      </c>
      <c r="AA653" s="1374"/>
      <c r="AB653" s="1374"/>
      <c r="AC653" s="1374"/>
      <c r="AD653" s="1374"/>
      <c r="AE653" s="1374"/>
      <c r="AF653" s="1374"/>
      <c r="AG653" s="1374"/>
      <c r="AH653" s="1374"/>
      <c r="AI653" s="1374"/>
      <c r="AJ653" s="1374"/>
      <c r="AK653" s="1374"/>
      <c r="AZ653" s="34"/>
      <c r="BA653" s="34"/>
      <c r="BB653" s="34"/>
      <c r="BC653" s="34"/>
      <c r="BD653" s="34"/>
      <c r="BE653" s="34"/>
      <c r="BF653" s="34"/>
      <c r="BG653" s="34"/>
      <c r="BH653" s="34"/>
      <c r="BI653" s="34"/>
      <c r="BJ653" s="34"/>
      <c r="BK653" s="34"/>
      <c r="BL653" s="34"/>
      <c r="BM653" s="34"/>
      <c r="DX653" s="1372" t="e">
        <f t="shared" si="2"/>
        <v>#VALUE!</v>
      </c>
      <c r="DY653" s="1372"/>
      <c r="DZ653" s="1372"/>
      <c r="EA653" s="1372"/>
      <c r="EB653" s="1372"/>
      <c r="EC653" s="1372" t="e">
        <f t="shared" si="3"/>
        <v>#VALUE!</v>
      </c>
      <c r="ED653" s="1372"/>
      <c r="EE653" s="1372"/>
      <c r="EF653" s="1372"/>
      <c r="EG653" s="1372"/>
      <c r="EH653" s="1372" t="e">
        <f t="shared" si="4"/>
        <v>#VALUE!</v>
      </c>
      <c r="EI653" s="1372"/>
      <c r="EJ653" s="1372"/>
      <c r="EK653" s="1372"/>
      <c r="EL653" s="1372"/>
      <c r="EM653" s="1372" t="e">
        <f t="shared" si="5"/>
        <v>#VALUE!</v>
      </c>
      <c r="EN653" s="1372"/>
      <c r="EO653" s="1372"/>
      <c r="EP653" s="1372"/>
      <c r="EQ653" s="1372"/>
      <c r="ER653" s="1372" t="e">
        <f t="shared" si="6"/>
        <v>#VALUE!</v>
      </c>
      <c r="ES653" s="1372"/>
      <c r="ET653" s="1372"/>
      <c r="EU653" s="1372"/>
      <c r="EV653" s="1372"/>
      <c r="EW653" s="1372" t="e">
        <f t="shared" si="7"/>
        <v>#VALUE!</v>
      </c>
      <c r="EX653" s="1372"/>
      <c r="EY653" s="1372"/>
      <c r="EZ653" s="1372"/>
      <c r="FA653" s="1372"/>
    </row>
    <row r="654" spans="1:157" ht="13" customHeight="1">
      <c r="A654" s="22"/>
      <c r="B654" t="s">
        <v>17</v>
      </c>
      <c r="G654" s="1374" t="s">
        <v>2633</v>
      </c>
      <c r="H654" s="1374"/>
      <c r="I654" s="1374"/>
      <c r="J654" s="1374"/>
      <c r="K654" s="1374"/>
      <c r="L654" s="1374"/>
      <c r="M654" s="1374"/>
      <c r="N654" s="1374"/>
      <c r="O654" s="1374"/>
      <c r="P654" s="1374"/>
      <c r="Q654" s="1374"/>
      <c r="R654" s="1374"/>
      <c r="T654" s="22"/>
      <c r="U654" t="s">
        <v>17</v>
      </c>
      <c r="Z654" s="1374" t="s">
        <v>2633</v>
      </c>
      <c r="AA654" s="1374"/>
      <c r="AB654" s="1374"/>
      <c r="AC654" s="1374"/>
      <c r="AD654" s="1374"/>
      <c r="AE654" s="1374"/>
      <c r="AF654" s="1374"/>
      <c r="AG654" s="1374"/>
      <c r="AH654" s="1374"/>
      <c r="AI654" s="1374"/>
      <c r="AJ654" s="1374"/>
      <c r="AK654" s="1374"/>
      <c r="AZ654" s="34"/>
      <c r="BA654" s="34"/>
      <c r="BB654" s="34"/>
      <c r="BC654" s="34"/>
      <c r="BD654" s="34"/>
      <c r="BE654" s="34"/>
      <c r="BF654" s="34"/>
      <c r="BG654" s="34"/>
      <c r="BH654" s="34"/>
      <c r="BI654" s="34"/>
      <c r="BJ654" s="34"/>
      <c r="BK654" s="34"/>
      <c r="BL654" s="34"/>
      <c r="BM654" s="34"/>
      <c r="DX654" s="1372" t="e">
        <f t="shared" si="2"/>
        <v>#VALUE!</v>
      </c>
      <c r="DY654" s="1372"/>
      <c r="DZ654" s="1372"/>
      <c r="EA654" s="1372"/>
      <c r="EB654" s="1372"/>
      <c r="EC654" s="1372" t="e">
        <f t="shared" si="3"/>
        <v>#VALUE!</v>
      </c>
      <c r="ED654" s="1372"/>
      <c r="EE654" s="1372"/>
      <c r="EF654" s="1372"/>
      <c r="EG654" s="1372"/>
      <c r="EH654" s="1372" t="e">
        <f t="shared" si="4"/>
        <v>#VALUE!</v>
      </c>
      <c r="EI654" s="1372"/>
      <c r="EJ654" s="1372"/>
      <c r="EK654" s="1372"/>
      <c r="EL654" s="1372"/>
      <c r="EM654" s="1372" t="e">
        <f t="shared" si="5"/>
        <v>#VALUE!</v>
      </c>
      <c r="EN654" s="1372"/>
      <c r="EO654" s="1372"/>
      <c r="EP654" s="1372"/>
      <c r="EQ654" s="1372"/>
      <c r="ER654" s="1372" t="e">
        <f t="shared" si="6"/>
        <v>#VALUE!</v>
      </c>
      <c r="ES654" s="1372"/>
      <c r="ET654" s="1372"/>
      <c r="EU654" s="1372"/>
      <c r="EV654" s="1372"/>
      <c r="EW654" s="1372" t="e">
        <f t="shared" si="7"/>
        <v>#VALUE!</v>
      </c>
      <c r="EX654" s="1372"/>
      <c r="EY654" s="1372"/>
      <c r="EZ654" s="1372"/>
      <c r="FA654" s="1372"/>
    </row>
    <row r="655" spans="1:157" ht="13" customHeight="1">
      <c r="A655" s="22"/>
      <c r="B655" t="s">
        <v>316</v>
      </c>
      <c r="G655" s="1490" t="s">
        <v>2634</v>
      </c>
      <c r="H655" s="1490"/>
      <c r="I655" s="1490"/>
      <c r="J655" s="1490"/>
      <c r="K655" s="1490"/>
      <c r="L655" s="1490"/>
      <c r="O655" s="33" t="s">
        <v>206</v>
      </c>
      <c r="P655" s="1474"/>
      <c r="Q655" s="1474"/>
      <c r="R655" s="1474"/>
      <c r="T655" s="22"/>
      <c r="U655" t="s">
        <v>316</v>
      </c>
      <c r="Z655" s="1490" t="s">
        <v>2634</v>
      </c>
      <c r="AA655" s="1490"/>
      <c r="AB655" s="1490"/>
      <c r="AC655" s="1490"/>
      <c r="AD655" s="1490"/>
      <c r="AE655" s="1490"/>
      <c r="AH655" s="33" t="s">
        <v>206</v>
      </c>
      <c r="AI655" s="1474"/>
      <c r="AJ655" s="1474"/>
      <c r="AK655" s="1474"/>
      <c r="AZ655" s="34"/>
      <c r="BA655" s="34"/>
      <c r="BB655" s="34"/>
      <c r="BC655" s="34"/>
      <c r="BD655" s="34"/>
      <c r="BE655" s="34"/>
      <c r="BF655" s="34"/>
      <c r="BG655" s="34"/>
      <c r="BH655" s="34"/>
      <c r="BI655" s="34"/>
      <c r="BJ655" s="34"/>
      <c r="BK655" s="34"/>
      <c r="BL655" s="34"/>
      <c r="BM655" s="34"/>
      <c r="DX655" s="1372" t="e">
        <f t="shared" si="2"/>
        <v>#VALUE!</v>
      </c>
      <c r="DY655" s="1372"/>
      <c r="DZ655" s="1372"/>
      <c r="EA655" s="1372"/>
      <c r="EB655" s="1372"/>
      <c r="EC655" s="1372" t="e">
        <f t="shared" si="3"/>
        <v>#VALUE!</v>
      </c>
      <c r="ED655" s="1372"/>
      <c r="EE655" s="1372"/>
      <c r="EF655" s="1372"/>
      <c r="EG655" s="1372"/>
      <c r="EH655" s="1372" t="e">
        <f t="shared" si="4"/>
        <v>#VALUE!</v>
      </c>
      <c r="EI655" s="1372"/>
      <c r="EJ655" s="1372"/>
      <c r="EK655" s="1372"/>
      <c r="EL655" s="1372"/>
      <c r="EM655" s="1372" t="e">
        <f t="shared" si="5"/>
        <v>#VALUE!</v>
      </c>
      <c r="EN655" s="1372"/>
      <c r="EO655" s="1372"/>
      <c r="EP655" s="1372"/>
      <c r="EQ655" s="1372"/>
      <c r="ER655" s="1372" t="e">
        <f t="shared" si="6"/>
        <v>#VALUE!</v>
      </c>
      <c r="ES655" s="1372"/>
      <c r="ET655" s="1372"/>
      <c r="EU655" s="1372"/>
      <c r="EV655" s="1372"/>
      <c r="EW655" s="1372" t="e">
        <f t="shared" si="7"/>
        <v>#VALUE!</v>
      </c>
      <c r="EX655" s="1372"/>
      <c r="EY655" s="1372"/>
      <c r="EZ655" s="1372"/>
      <c r="FA655" s="1372"/>
    </row>
    <row r="656" spans="1:157" ht="13" customHeight="1">
      <c r="A656" s="22"/>
      <c r="B656" t="s">
        <v>18</v>
      </c>
      <c r="H656" s="1410" t="s">
        <v>2725</v>
      </c>
      <c r="I656" s="1410"/>
      <c r="J656" s="1410"/>
      <c r="K656" s="1410"/>
      <c r="L656" s="1410"/>
      <c r="M656" s="1410"/>
      <c r="N656" s="1410"/>
      <c r="O656" s="1410"/>
      <c r="P656" s="1410"/>
      <c r="Q656" s="1410"/>
      <c r="R656" s="1410"/>
      <c r="T656" s="22"/>
      <c r="U656" t="s">
        <v>18</v>
      </c>
      <c r="AA656" s="1410" t="s">
        <v>2725</v>
      </c>
      <c r="AB656" s="1410"/>
      <c r="AC656" s="1410"/>
      <c r="AD656" s="1410"/>
      <c r="AE656" s="1410"/>
      <c r="AF656" s="1410"/>
      <c r="AG656" s="1410"/>
      <c r="AH656" s="1410"/>
      <c r="AI656" s="1410"/>
      <c r="AJ656" s="1410"/>
      <c r="AK656" s="1410"/>
      <c r="AZ656" s="34"/>
      <c r="BA656" s="34"/>
      <c r="BB656" s="34"/>
      <c r="BC656" s="34"/>
      <c r="BD656" s="34"/>
      <c r="BE656" s="34"/>
      <c r="BF656" s="34"/>
      <c r="BG656" s="34"/>
      <c r="BH656" s="34"/>
      <c r="BI656" s="34"/>
      <c r="BJ656" s="34"/>
      <c r="BK656" s="34"/>
      <c r="BL656" s="34"/>
      <c r="BM656" s="34"/>
      <c r="DX656" s="1372" t="e">
        <f t="shared" si="2"/>
        <v>#VALUE!</v>
      </c>
      <c r="DY656" s="1372"/>
      <c r="DZ656" s="1372"/>
      <c r="EA656" s="1372"/>
      <c r="EB656" s="1372"/>
      <c r="EC656" s="1372" t="e">
        <f t="shared" si="3"/>
        <v>#VALUE!</v>
      </c>
      <c r="ED656" s="1372"/>
      <c r="EE656" s="1372"/>
      <c r="EF656" s="1372"/>
      <c r="EG656" s="1372"/>
      <c r="EH656" s="1372" t="e">
        <f t="shared" si="4"/>
        <v>#VALUE!</v>
      </c>
      <c r="EI656" s="1372"/>
      <c r="EJ656" s="1372"/>
      <c r="EK656" s="1372"/>
      <c r="EL656" s="1372"/>
      <c r="EM656" s="1372" t="e">
        <f t="shared" si="5"/>
        <v>#VALUE!</v>
      </c>
      <c r="EN656" s="1372"/>
      <c r="EO656" s="1372"/>
      <c r="EP656" s="1372"/>
      <c r="EQ656" s="1372"/>
      <c r="ER656" s="1372" t="e">
        <f t="shared" si="6"/>
        <v>#VALUE!</v>
      </c>
      <c r="ES656" s="1372"/>
      <c r="ET656" s="1372"/>
      <c r="EU656" s="1372"/>
      <c r="EV656" s="1372"/>
      <c r="EW656" s="1372" t="e">
        <f t="shared" si="7"/>
        <v>#VALUE!</v>
      </c>
      <c r="EX656" s="1372"/>
      <c r="EY656" s="1372"/>
      <c r="EZ656" s="1372"/>
      <c r="FA656" s="1372"/>
    </row>
    <row r="657" spans="1:157" ht="13" customHeight="1">
      <c r="A657" s="22"/>
      <c r="B657" t="s">
        <v>20</v>
      </c>
      <c r="N657" s="1418" t="s">
        <v>546</v>
      </c>
      <c r="O657" s="1418"/>
      <c r="T657" s="22"/>
      <c r="U657" t="s">
        <v>20</v>
      </c>
      <c r="AG657" s="1418" t="s">
        <v>546</v>
      </c>
      <c r="AH657" s="1418"/>
      <c r="AZ657" s="34"/>
      <c r="BA657" s="34"/>
      <c r="BB657" s="34"/>
      <c r="BC657" s="34"/>
      <c r="BD657" s="34"/>
      <c r="BE657" s="34"/>
      <c r="BF657" s="34"/>
      <c r="BG657" s="34"/>
      <c r="BH657" s="34"/>
      <c r="BI657" s="34"/>
      <c r="BJ657" s="34"/>
      <c r="BK657" s="34"/>
      <c r="BL657" s="34"/>
      <c r="BM657" s="34"/>
      <c r="DX657" s="1372" t="e">
        <f t="shared" si="2"/>
        <v>#VALUE!</v>
      </c>
      <c r="DY657" s="1372"/>
      <c r="DZ657" s="1372"/>
      <c r="EA657" s="1372"/>
      <c r="EB657" s="1372"/>
      <c r="EC657" s="1372" t="e">
        <f t="shared" si="3"/>
        <v>#VALUE!</v>
      </c>
      <c r="ED657" s="1372"/>
      <c r="EE657" s="1372"/>
      <c r="EF657" s="1372"/>
      <c r="EG657" s="1372"/>
      <c r="EH657" s="1372" t="e">
        <f t="shared" si="4"/>
        <v>#VALUE!</v>
      </c>
      <c r="EI657" s="1372"/>
      <c r="EJ657" s="1372"/>
      <c r="EK657" s="1372"/>
      <c r="EL657" s="1372"/>
      <c r="EM657" s="1372" t="e">
        <f t="shared" si="5"/>
        <v>#VALUE!</v>
      </c>
      <c r="EN657" s="1372"/>
      <c r="EO657" s="1372"/>
      <c r="EP657" s="1372"/>
      <c r="EQ657" s="1372"/>
      <c r="ER657" s="1372" t="e">
        <f t="shared" si="6"/>
        <v>#VALUE!</v>
      </c>
      <c r="ES657" s="1372"/>
      <c r="ET657" s="1372"/>
      <c r="EU657" s="1372"/>
      <c r="EV657" s="1372"/>
      <c r="EW657" s="1372" t="e">
        <f t="shared" si="7"/>
        <v>#VALUE!</v>
      </c>
      <c r="EX657" s="1372"/>
      <c r="EY657" s="1372"/>
      <c r="EZ657" s="1372"/>
      <c r="FA657" s="1372"/>
    </row>
    <row r="658" spans="1:157" ht="13" customHeight="1">
      <c r="A658" s="22"/>
      <c r="T658" s="22"/>
      <c r="AZ658" s="34"/>
      <c r="BA658" s="34"/>
      <c r="BB658" s="34"/>
      <c r="BC658" s="34"/>
      <c r="BD658" s="34"/>
      <c r="BE658" s="34"/>
      <c r="BF658" s="34"/>
      <c r="BG658" s="34"/>
      <c r="BH658" s="34"/>
      <c r="BI658" s="34"/>
      <c r="BJ658" s="34"/>
      <c r="BK658" s="34"/>
      <c r="BL658" s="34"/>
      <c r="BM658" s="34"/>
      <c r="DX658" s="1372" t="e">
        <f t="shared" si="2"/>
        <v>#VALUE!</v>
      </c>
      <c r="DY658" s="1372"/>
      <c r="DZ658" s="1372"/>
      <c r="EA658" s="1372"/>
      <c r="EB658" s="1372"/>
      <c r="EC658" s="1372" t="e">
        <f t="shared" si="3"/>
        <v>#VALUE!</v>
      </c>
      <c r="ED658" s="1372"/>
      <c r="EE658" s="1372"/>
      <c r="EF658" s="1372"/>
      <c r="EG658" s="1372"/>
      <c r="EH658" s="1372" t="e">
        <f t="shared" si="4"/>
        <v>#VALUE!</v>
      </c>
      <c r="EI658" s="1372"/>
      <c r="EJ658" s="1372"/>
      <c r="EK658" s="1372"/>
      <c r="EL658" s="1372"/>
      <c r="EM658" s="1372" t="e">
        <f t="shared" si="5"/>
        <v>#VALUE!</v>
      </c>
      <c r="EN658" s="1372"/>
      <c r="EO658" s="1372"/>
      <c r="EP658" s="1372"/>
      <c r="EQ658" s="1372"/>
      <c r="ER658" s="1372" t="e">
        <f t="shared" si="6"/>
        <v>#VALUE!</v>
      </c>
      <c r="ES658" s="1372"/>
      <c r="ET658" s="1372"/>
      <c r="EU658" s="1372"/>
      <c r="EV658" s="1372"/>
      <c r="EW658" s="1372" t="e">
        <f t="shared" si="7"/>
        <v>#VALUE!</v>
      </c>
      <c r="EX658" s="1372"/>
      <c r="EY658" s="1372"/>
      <c r="EZ658" s="1372"/>
      <c r="FA658" s="1372"/>
    </row>
    <row r="659" spans="1:157" ht="13" customHeight="1">
      <c r="A659" s="55" t="s">
        <v>764</v>
      </c>
      <c r="B659" t="s">
        <v>464</v>
      </c>
      <c r="G659" s="1486" t="str">
        <f>C631</f>
        <v>Deferred Developer Fee</v>
      </c>
      <c r="H659" s="1486"/>
      <c r="I659" s="1486"/>
      <c r="J659" s="1486"/>
      <c r="K659" s="1486"/>
      <c r="L659" s="1486"/>
      <c r="M659" s="1486"/>
      <c r="N659" s="1486"/>
      <c r="O659" s="1486"/>
      <c r="P659" s="1486"/>
      <c r="Q659" s="1486"/>
      <c r="R659" s="1486"/>
      <c r="T659" s="55" t="s">
        <v>585</v>
      </c>
      <c r="U659" t="s">
        <v>464</v>
      </c>
      <c r="Z659" s="1486" t="str">
        <f>C632</f>
        <v>The Richman Group-Solar Equity</v>
      </c>
      <c r="AA659" s="1486"/>
      <c r="AB659" s="1486"/>
      <c r="AC659" s="1486"/>
      <c r="AD659" s="1486"/>
      <c r="AE659" s="1486"/>
      <c r="AF659" s="1486"/>
      <c r="AG659" s="1486"/>
      <c r="AH659" s="1486"/>
      <c r="AI659" s="1486"/>
      <c r="AJ659" s="1486"/>
      <c r="AK659" s="1486"/>
      <c r="AZ659" s="34"/>
      <c r="BA659" s="34"/>
      <c r="BB659" s="34"/>
      <c r="BC659" s="34"/>
      <c r="BD659" s="34"/>
      <c r="BE659" s="34"/>
      <c r="BF659" s="34"/>
      <c r="BG659" s="34"/>
      <c r="BH659" s="34"/>
      <c r="BI659" s="34"/>
      <c r="BJ659" s="34"/>
      <c r="BK659" s="34"/>
      <c r="BL659" s="34"/>
      <c r="BM659" s="34"/>
      <c r="DX659" s="1372" t="e">
        <f t="shared" si="2"/>
        <v>#VALUE!</v>
      </c>
      <c r="DY659" s="1372"/>
      <c r="DZ659" s="1372"/>
      <c r="EA659" s="1372"/>
      <c r="EB659" s="1372"/>
      <c r="EC659" s="1372" t="e">
        <f t="shared" si="3"/>
        <v>#VALUE!</v>
      </c>
      <c r="ED659" s="1372"/>
      <c r="EE659" s="1372"/>
      <c r="EF659" s="1372"/>
      <c r="EG659" s="1372"/>
      <c r="EH659" s="1372" t="e">
        <f t="shared" si="4"/>
        <v>#VALUE!</v>
      </c>
      <c r="EI659" s="1372"/>
      <c r="EJ659" s="1372"/>
      <c r="EK659" s="1372"/>
      <c r="EL659" s="1372"/>
      <c r="EM659" s="1372" t="e">
        <f t="shared" si="5"/>
        <v>#VALUE!</v>
      </c>
      <c r="EN659" s="1372"/>
      <c r="EO659" s="1372"/>
      <c r="EP659" s="1372"/>
      <c r="EQ659" s="1372"/>
      <c r="ER659" s="1372" t="e">
        <f t="shared" si="6"/>
        <v>#VALUE!</v>
      </c>
      <c r="ES659" s="1372"/>
      <c r="ET659" s="1372"/>
      <c r="EU659" s="1372"/>
      <c r="EV659" s="1372"/>
      <c r="EW659" s="1372" t="e">
        <f t="shared" si="7"/>
        <v>#VALUE!</v>
      </c>
      <c r="EX659" s="1372"/>
      <c r="EY659" s="1372"/>
      <c r="EZ659" s="1372"/>
      <c r="FA659" s="1372"/>
    </row>
    <row r="660" spans="1:157" ht="13" customHeight="1">
      <c r="A660" s="22"/>
      <c r="B660" t="s">
        <v>85</v>
      </c>
      <c r="G660" s="1410" t="s">
        <v>2640</v>
      </c>
      <c r="H660" s="1410"/>
      <c r="I660" s="1410"/>
      <c r="J660" s="1410"/>
      <c r="K660" s="1410"/>
      <c r="L660" s="1410"/>
      <c r="M660" s="1410"/>
      <c r="N660" s="1410"/>
      <c r="O660" s="1410"/>
      <c r="P660" s="1410"/>
      <c r="Q660" s="1410"/>
      <c r="R660" s="1410"/>
      <c r="T660" s="22"/>
      <c r="U660" t="s">
        <v>85</v>
      </c>
      <c r="Z660" s="1410" t="s">
        <v>2665</v>
      </c>
      <c r="AA660" s="1410"/>
      <c r="AB660" s="1410"/>
      <c r="AC660" s="1410"/>
      <c r="AD660" s="1410"/>
      <c r="AE660" s="1410"/>
      <c r="AF660" s="1410"/>
      <c r="AG660" s="1410"/>
      <c r="AH660" s="1410"/>
      <c r="AI660" s="1410"/>
      <c r="AJ660" s="1410"/>
      <c r="AK660" s="1410"/>
      <c r="AZ660" s="34"/>
      <c r="BA660" s="34"/>
      <c r="BB660" s="34"/>
      <c r="BC660" s="34"/>
      <c r="BD660" s="34"/>
      <c r="BE660" s="34"/>
      <c r="BF660" s="34"/>
      <c r="BG660" s="34"/>
      <c r="BH660" s="34"/>
      <c r="BI660" s="34"/>
      <c r="BJ660" s="34"/>
      <c r="BK660" s="34"/>
      <c r="BL660" s="34"/>
      <c r="BM660" s="34"/>
      <c r="DX660" s="1372" t="e">
        <f t="shared" si="2"/>
        <v>#VALUE!</v>
      </c>
      <c r="DY660" s="1372"/>
      <c r="DZ660" s="1372"/>
      <c r="EA660" s="1372"/>
      <c r="EB660" s="1372"/>
      <c r="EC660" s="1372" t="e">
        <f t="shared" si="3"/>
        <v>#VALUE!</v>
      </c>
      <c r="ED660" s="1372"/>
      <c r="EE660" s="1372"/>
      <c r="EF660" s="1372"/>
      <c r="EG660" s="1372"/>
      <c r="EH660" s="1372" t="e">
        <f t="shared" si="4"/>
        <v>#VALUE!</v>
      </c>
      <c r="EI660" s="1372"/>
      <c r="EJ660" s="1372"/>
      <c r="EK660" s="1372"/>
      <c r="EL660" s="1372"/>
      <c r="EM660" s="1372" t="e">
        <f t="shared" si="5"/>
        <v>#VALUE!</v>
      </c>
      <c r="EN660" s="1372"/>
      <c r="EO660" s="1372"/>
      <c r="EP660" s="1372"/>
      <c r="EQ660" s="1372"/>
      <c r="ER660" s="1372" t="e">
        <f t="shared" si="6"/>
        <v>#VALUE!</v>
      </c>
      <c r="ES660" s="1372"/>
      <c r="ET660" s="1372"/>
      <c r="EU660" s="1372"/>
      <c r="EV660" s="1372"/>
      <c r="EW660" s="1372" t="e">
        <f t="shared" si="7"/>
        <v>#VALUE!</v>
      </c>
      <c r="EX660" s="1372"/>
      <c r="EY660" s="1372"/>
      <c r="EZ660" s="1372"/>
      <c r="FA660" s="1372"/>
    </row>
    <row r="661" spans="1:157" ht="13" customHeight="1">
      <c r="A661" s="22"/>
      <c r="B661" t="s">
        <v>581</v>
      </c>
      <c r="G661" s="1410" t="s">
        <v>2721</v>
      </c>
      <c r="H661" s="1410"/>
      <c r="I661" s="1410"/>
      <c r="J661" s="1410"/>
      <c r="K661" s="1410"/>
      <c r="L661" s="1410"/>
      <c r="M661" s="1410"/>
      <c r="N661" s="1410"/>
      <c r="O661" s="1410"/>
      <c r="P661" s="1410"/>
      <c r="Q661" s="1410"/>
      <c r="R661" s="1410"/>
      <c r="T661" s="22"/>
      <c r="U661" t="s">
        <v>581</v>
      </c>
      <c r="Z661" s="1374" t="s">
        <v>2666</v>
      </c>
      <c r="AA661" s="1374"/>
      <c r="AB661" s="1374"/>
      <c r="AC661" s="1374"/>
      <c r="AD661" s="1374"/>
      <c r="AE661" s="1374"/>
      <c r="AF661" s="1374"/>
      <c r="AG661" s="1374"/>
      <c r="AH661" s="1374"/>
      <c r="AI661" s="1374"/>
      <c r="AJ661" s="1374"/>
      <c r="AK661" s="1374"/>
      <c r="AZ661" s="34"/>
      <c r="BA661" s="34"/>
      <c r="BB661" s="34"/>
      <c r="BC661" s="34"/>
      <c r="BD661" s="34"/>
      <c r="BE661" s="34"/>
      <c r="BF661" s="34"/>
      <c r="BG661" s="34"/>
      <c r="BH661" s="34"/>
      <c r="BI661" s="34"/>
      <c r="BJ661" s="34"/>
      <c r="BK661" s="34"/>
      <c r="BL661" s="34"/>
      <c r="BM661" s="34"/>
      <c r="DX661" s="1372" t="e">
        <f t="shared" si="2"/>
        <v>#VALUE!</v>
      </c>
      <c r="DY661" s="1372"/>
      <c r="DZ661" s="1372"/>
      <c r="EA661" s="1372"/>
      <c r="EB661" s="1372"/>
      <c r="EC661" s="1372" t="e">
        <f t="shared" si="3"/>
        <v>#VALUE!</v>
      </c>
      <c r="ED661" s="1372"/>
      <c r="EE661" s="1372"/>
      <c r="EF661" s="1372"/>
      <c r="EG661" s="1372"/>
      <c r="EH661" s="1372" t="e">
        <f t="shared" si="4"/>
        <v>#VALUE!</v>
      </c>
      <c r="EI661" s="1372"/>
      <c r="EJ661" s="1372"/>
      <c r="EK661" s="1372"/>
      <c r="EL661" s="1372"/>
      <c r="EM661" s="1372" t="e">
        <f t="shared" si="5"/>
        <v>#VALUE!</v>
      </c>
      <c r="EN661" s="1372"/>
      <c r="EO661" s="1372"/>
      <c r="EP661" s="1372"/>
      <c r="EQ661" s="1372"/>
      <c r="ER661" s="1372" t="e">
        <f t="shared" si="6"/>
        <v>#VALUE!</v>
      </c>
      <c r="ES661" s="1372"/>
      <c r="ET661" s="1372"/>
      <c r="EU661" s="1372"/>
      <c r="EV661" s="1372"/>
      <c r="EW661" s="1372" t="e">
        <f t="shared" si="7"/>
        <v>#VALUE!</v>
      </c>
      <c r="EX661" s="1372"/>
      <c r="EY661" s="1372"/>
      <c r="EZ661" s="1372"/>
      <c r="FA661" s="1372"/>
    </row>
    <row r="662" spans="1:157" ht="13" customHeight="1">
      <c r="A662" s="22"/>
      <c r="B662" t="s">
        <v>17</v>
      </c>
      <c r="G662" s="1410" t="s">
        <v>2625</v>
      </c>
      <c r="H662" s="1410"/>
      <c r="I662" s="1410"/>
      <c r="J662" s="1410"/>
      <c r="K662" s="1410"/>
      <c r="L662" s="1410"/>
      <c r="M662" s="1410"/>
      <c r="N662" s="1410"/>
      <c r="O662" s="1410"/>
      <c r="P662" s="1410"/>
      <c r="Q662" s="1410"/>
      <c r="R662" s="1410"/>
      <c r="T662" s="22"/>
      <c r="U662" t="s">
        <v>17</v>
      </c>
      <c r="Z662" s="1374" t="s">
        <v>2667</v>
      </c>
      <c r="AA662" s="1374"/>
      <c r="AB662" s="1374"/>
      <c r="AC662" s="1374"/>
      <c r="AD662" s="1374"/>
      <c r="AE662" s="1374"/>
      <c r="AF662" s="1374"/>
      <c r="AG662" s="1374"/>
      <c r="AH662" s="1374"/>
      <c r="AI662" s="1374"/>
      <c r="AJ662" s="1374"/>
      <c r="AK662" s="137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2" t="e">
        <f t="shared" si="2"/>
        <v>#VALUE!</v>
      </c>
      <c r="DY662" s="1372"/>
      <c r="DZ662" s="1372"/>
      <c r="EA662" s="1372"/>
      <c r="EB662" s="1372"/>
      <c r="EC662" s="1372" t="e">
        <f t="shared" si="3"/>
        <v>#VALUE!</v>
      </c>
      <c r="ED662" s="1372"/>
      <c r="EE662" s="1372"/>
      <c r="EF662" s="1372"/>
      <c r="EG662" s="1372"/>
      <c r="EH662" s="1372" t="e">
        <f t="shared" si="4"/>
        <v>#VALUE!</v>
      </c>
      <c r="EI662" s="1372"/>
      <c r="EJ662" s="1372"/>
      <c r="EK662" s="1372"/>
      <c r="EL662" s="1372"/>
      <c r="EM662" s="1372" t="e">
        <f t="shared" si="5"/>
        <v>#VALUE!</v>
      </c>
      <c r="EN662" s="1372"/>
      <c r="EO662" s="1372"/>
      <c r="EP662" s="1372"/>
      <c r="EQ662" s="1372"/>
      <c r="ER662" s="1372" t="e">
        <f t="shared" si="6"/>
        <v>#VALUE!</v>
      </c>
      <c r="ES662" s="1372"/>
      <c r="ET662" s="1372"/>
      <c r="EU662" s="1372"/>
      <c r="EV662" s="1372"/>
      <c r="EW662" s="1372" t="e">
        <f t="shared" si="7"/>
        <v>#VALUE!</v>
      </c>
      <c r="EX662" s="1372"/>
      <c r="EY662" s="1372"/>
      <c r="EZ662" s="1372"/>
      <c r="FA662" s="1372"/>
    </row>
    <row r="663" spans="1:157" ht="13" customHeight="1">
      <c r="A663" s="22"/>
      <c r="B663" t="s">
        <v>316</v>
      </c>
      <c r="G663" s="1490" t="s">
        <v>2626</v>
      </c>
      <c r="H663" s="1490"/>
      <c r="I663" s="1490"/>
      <c r="J663" s="1490"/>
      <c r="K663" s="1490"/>
      <c r="L663" s="1490"/>
      <c r="O663" s="33" t="s">
        <v>206</v>
      </c>
      <c r="P663" s="1474"/>
      <c r="Q663" s="1474"/>
      <c r="R663" s="1474"/>
      <c r="T663" s="22"/>
      <c r="U663" t="s">
        <v>316</v>
      </c>
      <c r="Z663" s="1490" t="s">
        <v>2668</v>
      </c>
      <c r="AA663" s="1490"/>
      <c r="AB663" s="1490"/>
      <c r="AC663" s="1490"/>
      <c r="AD663" s="1490"/>
      <c r="AE663" s="1490"/>
      <c r="AH663" s="33" t="s">
        <v>206</v>
      </c>
      <c r="AI663" s="1474"/>
      <c r="AJ663" s="1474"/>
      <c r="AK663" s="147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2" t="e">
        <f t="shared" si="2"/>
        <v>#VALUE!</v>
      </c>
      <c r="DY663" s="1372"/>
      <c r="DZ663" s="1372"/>
      <c r="EA663" s="1372"/>
      <c r="EB663" s="1372"/>
      <c r="EC663" s="1372" t="e">
        <f t="shared" si="3"/>
        <v>#VALUE!</v>
      </c>
      <c r="ED663" s="1372"/>
      <c r="EE663" s="1372"/>
      <c r="EF663" s="1372"/>
      <c r="EG663" s="1372"/>
      <c r="EH663" s="1372" t="e">
        <f t="shared" si="4"/>
        <v>#VALUE!</v>
      </c>
      <c r="EI663" s="1372"/>
      <c r="EJ663" s="1372"/>
      <c r="EK663" s="1372"/>
      <c r="EL663" s="1372"/>
      <c r="EM663" s="1372" t="e">
        <f t="shared" si="5"/>
        <v>#VALUE!</v>
      </c>
      <c r="EN663" s="1372"/>
      <c r="EO663" s="1372"/>
      <c r="EP663" s="1372"/>
      <c r="EQ663" s="1372"/>
      <c r="ER663" s="1372" t="e">
        <f t="shared" si="6"/>
        <v>#VALUE!</v>
      </c>
      <c r="ES663" s="1372"/>
      <c r="ET663" s="1372"/>
      <c r="EU663" s="1372"/>
      <c r="EV663" s="1372"/>
      <c r="EW663" s="1372" t="e">
        <f t="shared" si="7"/>
        <v>#VALUE!</v>
      </c>
      <c r="EX663" s="1372"/>
      <c r="EY663" s="1372"/>
      <c r="EZ663" s="1372"/>
      <c r="FA663" s="1372"/>
    </row>
    <row r="664" spans="1:157" ht="13" customHeight="1">
      <c r="A664" s="22"/>
      <c r="B664" t="s">
        <v>18</v>
      </c>
      <c r="H664" s="1410" t="s">
        <v>2323</v>
      </c>
      <c r="I664" s="1410"/>
      <c r="J664" s="1410"/>
      <c r="K664" s="1410"/>
      <c r="L664" s="1410"/>
      <c r="M664" s="1410"/>
      <c r="N664" s="1410"/>
      <c r="O664" s="1410"/>
      <c r="P664" s="1410"/>
      <c r="Q664" s="1410"/>
      <c r="R664" s="1410"/>
      <c r="T664" s="22"/>
      <c r="U664" t="s">
        <v>18</v>
      </c>
      <c r="AA664" s="1410" t="s">
        <v>2720</v>
      </c>
      <c r="AB664" s="1410"/>
      <c r="AC664" s="1410"/>
      <c r="AD664" s="1410"/>
      <c r="AE664" s="1410"/>
      <c r="AF664" s="1410"/>
      <c r="AG664" s="1410"/>
      <c r="AH664" s="1410"/>
      <c r="AI664" s="1410"/>
      <c r="AJ664" s="1410"/>
      <c r="AK664" s="141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2" t="e">
        <f t="shared" si="2"/>
        <v>#VALUE!</v>
      </c>
      <c r="DY664" s="1372"/>
      <c r="DZ664" s="1372"/>
      <c r="EA664" s="1372"/>
      <c r="EB664" s="1372"/>
      <c r="EC664" s="1372" t="e">
        <f t="shared" si="3"/>
        <v>#VALUE!</v>
      </c>
      <c r="ED664" s="1372"/>
      <c r="EE664" s="1372"/>
      <c r="EF664" s="1372"/>
      <c r="EG664" s="1372"/>
      <c r="EH664" s="1372" t="e">
        <f t="shared" si="4"/>
        <v>#VALUE!</v>
      </c>
      <c r="EI664" s="1372"/>
      <c r="EJ664" s="1372"/>
      <c r="EK664" s="1372"/>
      <c r="EL664" s="1372"/>
      <c r="EM664" s="1372" t="e">
        <f t="shared" si="5"/>
        <v>#VALUE!</v>
      </c>
      <c r="EN664" s="1372"/>
      <c r="EO664" s="1372"/>
      <c r="EP664" s="1372"/>
      <c r="EQ664" s="1372"/>
      <c r="ER664" s="1372" t="e">
        <f t="shared" si="6"/>
        <v>#VALUE!</v>
      </c>
      <c r="ES664" s="1372"/>
      <c r="ET664" s="1372"/>
      <c r="EU664" s="1372"/>
      <c r="EV664" s="1372"/>
      <c r="EW664" s="1372" t="e">
        <f t="shared" si="7"/>
        <v>#VALUE!</v>
      </c>
      <c r="EX664" s="1372"/>
      <c r="EY664" s="1372"/>
      <c r="EZ664" s="1372"/>
      <c r="FA664" s="1372"/>
    </row>
    <row r="665" spans="1:157" ht="13" customHeight="1">
      <c r="A665" s="22"/>
      <c r="B665" t="s">
        <v>20</v>
      </c>
      <c r="N665" s="1418" t="s">
        <v>546</v>
      </c>
      <c r="O665" s="1418"/>
      <c r="T665" s="22"/>
      <c r="U665" t="s">
        <v>20</v>
      </c>
      <c r="AG665" s="1418" t="s">
        <v>546</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2" t="e">
        <f t="shared" si="2"/>
        <v>#VALUE!</v>
      </c>
      <c r="DY665" s="1372"/>
      <c r="DZ665" s="1372"/>
      <c r="EA665" s="1372"/>
      <c r="EB665" s="1372"/>
      <c r="EC665" s="1372" t="e">
        <f t="shared" si="3"/>
        <v>#VALUE!</v>
      </c>
      <c r="ED665" s="1372"/>
      <c r="EE665" s="1372"/>
      <c r="EF665" s="1372"/>
      <c r="EG665" s="1372"/>
      <c r="EH665" s="1372" t="e">
        <f t="shared" si="4"/>
        <v>#VALUE!</v>
      </c>
      <c r="EI665" s="1372"/>
      <c r="EJ665" s="1372"/>
      <c r="EK665" s="1372"/>
      <c r="EL665" s="1372"/>
      <c r="EM665" s="1372" t="e">
        <f t="shared" si="5"/>
        <v>#VALUE!</v>
      </c>
      <c r="EN665" s="1372"/>
      <c r="EO665" s="1372"/>
      <c r="EP665" s="1372"/>
      <c r="EQ665" s="1372"/>
      <c r="ER665" s="1372" t="e">
        <f t="shared" si="6"/>
        <v>#VALUE!</v>
      </c>
      <c r="ES665" s="1372"/>
      <c r="ET665" s="1372"/>
      <c r="EU665" s="1372"/>
      <c r="EV665" s="1372"/>
      <c r="EW665" s="1372" t="e">
        <f t="shared" si="7"/>
        <v>#VALUE!</v>
      </c>
      <c r="EX665" s="1372"/>
      <c r="EY665" s="1372"/>
      <c r="EZ665" s="1372"/>
      <c r="FA665" s="1372"/>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2" t="e">
        <f t="shared" si="2"/>
        <v>#VALUE!</v>
      </c>
      <c r="DY666" s="1372"/>
      <c r="DZ666" s="1372"/>
      <c r="EA666" s="1372"/>
      <c r="EB666" s="1372"/>
      <c r="EC666" s="1372" t="e">
        <f t="shared" si="3"/>
        <v>#VALUE!</v>
      </c>
      <c r="ED666" s="1372"/>
      <c r="EE666" s="1372"/>
      <c r="EF666" s="1372"/>
      <c r="EG666" s="1372"/>
      <c r="EH666" s="1372" t="e">
        <f t="shared" si="4"/>
        <v>#VALUE!</v>
      </c>
      <c r="EI666" s="1372"/>
      <c r="EJ666" s="1372"/>
      <c r="EK666" s="1372"/>
      <c r="EL666" s="1372"/>
      <c r="EM666" s="1372" t="e">
        <f t="shared" si="5"/>
        <v>#VALUE!</v>
      </c>
      <c r="EN666" s="1372"/>
      <c r="EO666" s="1372"/>
      <c r="EP666" s="1372"/>
      <c r="EQ666" s="1372"/>
      <c r="ER666" s="1372" t="e">
        <f t="shared" si="6"/>
        <v>#VALUE!</v>
      </c>
      <c r="ES666" s="1372"/>
      <c r="ET666" s="1372"/>
      <c r="EU666" s="1372"/>
      <c r="EV666" s="1372"/>
      <c r="EW666" s="1372" t="e">
        <f t="shared" si="7"/>
        <v>#VALUE!</v>
      </c>
      <c r="EX666" s="1372"/>
      <c r="EY666" s="1372"/>
      <c r="EZ666" s="1372"/>
      <c r="FA666" s="1372"/>
    </row>
    <row r="667" spans="1:157" ht="13" customHeight="1">
      <c r="A667" s="55" t="s">
        <v>456</v>
      </c>
      <c r="B667" t="s">
        <v>464</v>
      </c>
      <c r="G667" s="1486">
        <f>C633</f>
        <v>0</v>
      </c>
      <c r="H667" s="1486"/>
      <c r="I667" s="1486"/>
      <c r="J667" s="1486"/>
      <c r="K667" s="1486"/>
      <c r="L667" s="1486"/>
      <c r="M667" s="1486"/>
      <c r="N667" s="1486"/>
      <c r="O667" s="1486"/>
      <c r="P667" s="1486"/>
      <c r="Q667" s="1486"/>
      <c r="R667" s="1486"/>
      <c r="T667" s="55" t="s">
        <v>457</v>
      </c>
      <c r="U667" t="s">
        <v>464</v>
      </c>
      <c r="Z667" s="1486">
        <f>C634</f>
        <v>0</v>
      </c>
      <c r="AA667" s="1486"/>
      <c r="AB667" s="1486"/>
      <c r="AC667" s="1486"/>
      <c r="AD667" s="1486"/>
      <c r="AE667" s="1486"/>
      <c r="AF667" s="1486"/>
      <c r="AG667" s="1486"/>
      <c r="AH667" s="1486"/>
      <c r="AI667" s="1486"/>
      <c r="AJ667" s="1486"/>
      <c r="AK667" s="148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2" t="e">
        <f t="shared" si="2"/>
        <v>#VALUE!</v>
      </c>
      <c r="DY667" s="1372"/>
      <c r="DZ667" s="1372"/>
      <c r="EA667" s="1372"/>
      <c r="EB667" s="1372"/>
      <c r="EC667" s="1372" t="e">
        <f t="shared" si="3"/>
        <v>#VALUE!</v>
      </c>
      <c r="ED667" s="1372"/>
      <c r="EE667" s="1372"/>
      <c r="EF667" s="1372"/>
      <c r="EG667" s="1372"/>
      <c r="EH667" s="1372" t="e">
        <f t="shared" si="4"/>
        <v>#VALUE!</v>
      </c>
      <c r="EI667" s="1372"/>
      <c r="EJ667" s="1372"/>
      <c r="EK667" s="1372"/>
      <c r="EL667" s="1372"/>
      <c r="EM667" s="1372" t="e">
        <f t="shared" si="5"/>
        <v>#VALUE!</v>
      </c>
      <c r="EN667" s="1372"/>
      <c r="EO667" s="1372"/>
      <c r="EP667" s="1372"/>
      <c r="EQ667" s="1372"/>
      <c r="ER667" s="1372" t="e">
        <f t="shared" si="6"/>
        <v>#VALUE!</v>
      </c>
      <c r="ES667" s="1372"/>
      <c r="ET667" s="1372"/>
      <c r="EU667" s="1372"/>
      <c r="EV667" s="1372"/>
      <c r="EW667" s="1372" t="e">
        <f t="shared" si="7"/>
        <v>#VALUE!</v>
      </c>
      <c r="EX667" s="1372"/>
      <c r="EY667" s="1372"/>
      <c r="EZ667" s="1372"/>
      <c r="FA667" s="1372"/>
    </row>
    <row r="668" spans="1:157" ht="13" customHeight="1">
      <c r="A668" s="22"/>
      <c r="B668" t="s">
        <v>85</v>
      </c>
      <c r="G668" s="1410"/>
      <c r="H668" s="1410"/>
      <c r="I668" s="1410"/>
      <c r="J668" s="1410"/>
      <c r="K668" s="1410"/>
      <c r="L668" s="1410"/>
      <c r="M668" s="1410"/>
      <c r="N668" s="1410"/>
      <c r="O668" s="1410"/>
      <c r="P668" s="1410"/>
      <c r="Q668" s="1410"/>
      <c r="R668" s="1410"/>
      <c r="T668" s="22"/>
      <c r="U668" t="s">
        <v>85</v>
      </c>
      <c r="Z668" s="1410"/>
      <c r="AA668" s="1410"/>
      <c r="AB668" s="1410"/>
      <c r="AC668" s="1410"/>
      <c r="AD668" s="1410"/>
      <c r="AE668" s="1410"/>
      <c r="AF668" s="1410"/>
      <c r="AG668" s="1410"/>
      <c r="AH668" s="1410"/>
      <c r="AI668" s="1410"/>
      <c r="AJ668" s="1410"/>
      <c r="AK668" s="141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2" t="e">
        <f t="shared" si="2"/>
        <v>#VALUE!</v>
      </c>
      <c r="DY668" s="1372"/>
      <c r="DZ668" s="1372"/>
      <c r="EA668" s="1372"/>
      <c r="EB668" s="1372"/>
      <c r="EC668" s="1372" t="e">
        <f t="shared" si="3"/>
        <v>#VALUE!</v>
      </c>
      <c r="ED668" s="1372"/>
      <c r="EE668" s="1372"/>
      <c r="EF668" s="1372"/>
      <c r="EG668" s="1372"/>
      <c r="EH668" s="1372" t="e">
        <f t="shared" si="4"/>
        <v>#VALUE!</v>
      </c>
      <c r="EI668" s="1372"/>
      <c r="EJ668" s="1372"/>
      <c r="EK668" s="1372"/>
      <c r="EL668" s="1372"/>
      <c r="EM668" s="1372" t="e">
        <f t="shared" si="5"/>
        <v>#VALUE!</v>
      </c>
      <c r="EN668" s="1372"/>
      <c r="EO668" s="1372"/>
      <c r="EP668" s="1372"/>
      <c r="EQ668" s="1372"/>
      <c r="ER668" s="1372" t="e">
        <f t="shared" si="6"/>
        <v>#VALUE!</v>
      </c>
      <c r="ES668" s="1372"/>
      <c r="ET668" s="1372"/>
      <c r="EU668" s="1372"/>
      <c r="EV668" s="1372"/>
      <c r="EW668" s="1372" t="e">
        <f t="shared" si="7"/>
        <v>#VALUE!</v>
      </c>
      <c r="EX668" s="1372"/>
      <c r="EY668" s="1372"/>
      <c r="EZ668" s="1372"/>
      <c r="FA668" s="1372"/>
    </row>
    <row r="669" spans="1:157" ht="13" customHeight="1">
      <c r="A669" s="22"/>
      <c r="B669" t="s">
        <v>581</v>
      </c>
      <c r="G669" s="1410"/>
      <c r="H669" s="1410"/>
      <c r="I669" s="1410"/>
      <c r="J669" s="1410"/>
      <c r="K669" s="1410"/>
      <c r="L669" s="1410"/>
      <c r="M669" s="1410"/>
      <c r="N669" s="1410"/>
      <c r="O669" s="1410"/>
      <c r="P669" s="1410"/>
      <c r="Q669" s="1410"/>
      <c r="R669" s="1410"/>
      <c r="T669" s="22"/>
      <c r="U669" t="s">
        <v>581</v>
      </c>
      <c r="Z669" s="1374"/>
      <c r="AA669" s="1374"/>
      <c r="AB669" s="1374"/>
      <c r="AC669" s="1374"/>
      <c r="AD669" s="1374"/>
      <c r="AE669" s="1374"/>
      <c r="AF669" s="1374"/>
      <c r="AG669" s="1374"/>
      <c r="AH669" s="1374"/>
      <c r="AI669" s="1374"/>
      <c r="AJ669" s="1374"/>
      <c r="AK669" s="1374"/>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2" t="e">
        <f t="shared" si="2"/>
        <v>#VALUE!</v>
      </c>
      <c r="DY669" s="1372"/>
      <c r="DZ669" s="1372"/>
      <c r="EA669" s="1372"/>
      <c r="EB669" s="1372"/>
      <c r="EC669" s="1372" t="e">
        <f t="shared" si="3"/>
        <v>#VALUE!</v>
      </c>
      <c r="ED669" s="1372"/>
      <c r="EE669" s="1372"/>
      <c r="EF669" s="1372"/>
      <c r="EG669" s="1372"/>
      <c r="EH669" s="1372" t="e">
        <f t="shared" si="4"/>
        <v>#VALUE!</v>
      </c>
      <c r="EI669" s="1372"/>
      <c r="EJ669" s="1372"/>
      <c r="EK669" s="1372"/>
      <c r="EL669" s="1372"/>
      <c r="EM669" s="1372" t="e">
        <f t="shared" si="5"/>
        <v>#VALUE!</v>
      </c>
      <c r="EN669" s="1372"/>
      <c r="EO669" s="1372"/>
      <c r="EP669" s="1372"/>
      <c r="EQ669" s="1372"/>
      <c r="ER669" s="1372" t="e">
        <f t="shared" si="6"/>
        <v>#VALUE!</v>
      </c>
      <c r="ES669" s="1372"/>
      <c r="ET669" s="1372"/>
      <c r="EU669" s="1372"/>
      <c r="EV669" s="1372"/>
      <c r="EW669" s="1372" t="e">
        <f t="shared" si="7"/>
        <v>#VALUE!</v>
      </c>
      <c r="EX669" s="1372"/>
      <c r="EY669" s="1372"/>
      <c r="EZ669" s="1372"/>
      <c r="FA669" s="1372"/>
    </row>
    <row r="670" spans="1:157" ht="13" customHeight="1">
      <c r="A670" s="22"/>
      <c r="B670" t="s">
        <v>17</v>
      </c>
      <c r="G670" s="1410"/>
      <c r="H670" s="1410"/>
      <c r="I670" s="1410"/>
      <c r="J670" s="1410"/>
      <c r="K670" s="1410"/>
      <c r="L670" s="1410"/>
      <c r="M670" s="1410"/>
      <c r="N670" s="1410"/>
      <c r="O670" s="1410"/>
      <c r="P670" s="1410"/>
      <c r="Q670" s="1410"/>
      <c r="R670" s="1410"/>
      <c r="T670" s="22"/>
      <c r="U670" t="s">
        <v>17</v>
      </c>
      <c r="Z670" s="1374"/>
      <c r="AA670" s="1374"/>
      <c r="AB670" s="1374"/>
      <c r="AC670" s="1374"/>
      <c r="AD670" s="1374"/>
      <c r="AE670" s="1374"/>
      <c r="AF670" s="1374"/>
      <c r="AG670" s="1374"/>
      <c r="AH670" s="1374"/>
      <c r="AI670" s="1374"/>
      <c r="AJ670" s="1374"/>
      <c r="AK670" s="1374"/>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2">
        <f>SUMIF(DX635:EB669,"&gt;0")</f>
        <v>0</v>
      </c>
      <c r="DY670" s="1372"/>
      <c r="DZ670" s="1372"/>
      <c r="EA670" s="1372"/>
      <c r="EB670" s="1372"/>
      <c r="EC670" s="1372">
        <f>SUMIF(EC635:EG669,"&gt;0")</f>
        <v>1637.0232558139533</v>
      </c>
      <c r="ED670" s="1372"/>
      <c r="EE670" s="1372"/>
      <c r="EF670" s="1372"/>
      <c r="EG670" s="1372"/>
      <c r="EH670" s="1372">
        <f>SUMIF(EH635:EL669,"&gt;0")</f>
        <v>1924.782608695652</v>
      </c>
      <c r="EI670" s="1372"/>
      <c r="EJ670" s="1372"/>
      <c r="EK670" s="1372"/>
      <c r="EL670" s="1372"/>
      <c r="EM670" s="1372">
        <f>SUMIF(EM635:EQ669,"&gt;0")</f>
        <v>2209.6521739130435</v>
      </c>
      <c r="EN670" s="1372"/>
      <c r="EO670" s="1372"/>
      <c r="EP670" s="1372"/>
      <c r="EQ670" s="1372"/>
      <c r="ER670" s="1372">
        <f>SUMIF(ER635:EV669,"&gt;0")</f>
        <v>0</v>
      </c>
      <c r="ES670" s="1372"/>
      <c r="ET670" s="1372"/>
      <c r="EU670" s="1372"/>
      <c r="EV670" s="1372"/>
      <c r="EW670" s="1372">
        <f>SUMIF(EW635:FA669,"&gt;0")</f>
        <v>0</v>
      </c>
      <c r="EX670" s="1372"/>
      <c r="EY670" s="1372"/>
      <c r="EZ670" s="1372"/>
      <c r="FA670" s="1372"/>
    </row>
    <row r="671" spans="1:157" ht="13" customHeight="1">
      <c r="A671" s="22"/>
      <c r="B671" t="s">
        <v>316</v>
      </c>
      <c r="G671" s="1490"/>
      <c r="H671" s="1490"/>
      <c r="I671" s="1490"/>
      <c r="J671" s="1490"/>
      <c r="K671" s="1490"/>
      <c r="L671" s="1490"/>
      <c r="O671" s="33" t="s">
        <v>206</v>
      </c>
      <c r="P671" s="1474"/>
      <c r="Q671" s="1474"/>
      <c r="R671" s="1474"/>
      <c r="T671" s="22"/>
      <c r="U671" t="s">
        <v>316</v>
      </c>
      <c r="Z671" s="1490"/>
      <c r="AA671" s="1490"/>
      <c r="AB671" s="1490"/>
      <c r="AC671" s="1490"/>
      <c r="AD671" s="1490"/>
      <c r="AE671" s="1490"/>
      <c r="AH671" s="33" t="s">
        <v>206</v>
      </c>
      <c r="AI671" s="1474"/>
      <c r="AJ671" s="1474"/>
      <c r="AK671" s="1474"/>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10"/>
      <c r="I672" s="1410"/>
      <c r="J672" s="1410"/>
      <c r="K672" s="1410"/>
      <c r="L672" s="1410"/>
      <c r="M672" s="1410"/>
      <c r="N672" s="1410"/>
      <c r="O672" s="1410"/>
      <c r="P672" s="1410"/>
      <c r="Q672" s="1410"/>
      <c r="R672" s="1410"/>
      <c r="T672" s="22"/>
      <c r="U672" t="s">
        <v>18</v>
      </c>
      <c r="AA672" s="1410"/>
      <c r="AB672" s="1410"/>
      <c r="AC672" s="1410"/>
      <c r="AD672" s="1410"/>
      <c r="AE672" s="1410"/>
      <c r="AF672" s="1410"/>
      <c r="AG672" s="1410"/>
      <c r="AH672" s="1410"/>
      <c r="AI672" s="1410"/>
      <c r="AJ672" s="1410"/>
      <c r="AK672" s="141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8" t="s">
        <v>670</v>
      </c>
      <c r="O673" s="1418"/>
      <c r="T673" s="22"/>
      <c r="U673" t="s">
        <v>20</v>
      </c>
      <c r="AG673" s="1418" t="s">
        <v>670</v>
      </c>
      <c r="AH673" s="1418"/>
      <c r="AZ673" s="3"/>
    </row>
    <row r="674" spans="1:52" ht="13" customHeight="1">
      <c r="A674" s="22"/>
      <c r="T674" s="22"/>
      <c r="AZ674" s="3"/>
    </row>
    <row r="675" spans="1:52" ht="13" customHeight="1">
      <c r="A675" s="55" t="s">
        <v>462</v>
      </c>
      <c r="B675" t="s">
        <v>464</v>
      </c>
      <c r="G675" s="1486">
        <f>C635</f>
        <v>0</v>
      </c>
      <c r="H675" s="1486"/>
      <c r="I675" s="1486"/>
      <c r="J675" s="1486"/>
      <c r="K675" s="1486"/>
      <c r="L675" s="1486"/>
      <c r="M675" s="1486"/>
      <c r="N675" s="1486"/>
      <c r="O675" s="1486"/>
      <c r="P675" s="1486"/>
      <c r="Q675" s="1486"/>
      <c r="R675" s="1486"/>
      <c r="T675" s="55" t="s">
        <v>647</v>
      </c>
      <c r="U675" t="s">
        <v>464</v>
      </c>
      <c r="Z675" s="1486">
        <f>C636</f>
        <v>0</v>
      </c>
      <c r="AA675" s="1486"/>
      <c r="AB675" s="1486"/>
      <c r="AC675" s="1486"/>
      <c r="AD675" s="1486"/>
      <c r="AE675" s="1486"/>
      <c r="AF675" s="1486"/>
      <c r="AG675" s="1486"/>
      <c r="AH675" s="1486"/>
      <c r="AI675" s="1486"/>
      <c r="AJ675" s="1486"/>
      <c r="AK675" s="1486"/>
      <c r="AZ675" s="3"/>
    </row>
    <row r="676" spans="1:52" ht="13" customHeight="1">
      <c r="A676" s="22"/>
      <c r="B676" t="s">
        <v>85</v>
      </c>
      <c r="G676" s="1410"/>
      <c r="H676" s="1410"/>
      <c r="I676" s="1410"/>
      <c r="J676" s="1410"/>
      <c r="K676" s="1410"/>
      <c r="L676" s="1410"/>
      <c r="M676" s="1410"/>
      <c r="N676" s="1410"/>
      <c r="O676" s="1410"/>
      <c r="P676" s="1410"/>
      <c r="Q676" s="1410"/>
      <c r="R676" s="1410"/>
      <c r="T676" s="22"/>
      <c r="U676" t="s">
        <v>85</v>
      </c>
      <c r="Z676" s="1410"/>
      <c r="AA676" s="1410"/>
      <c r="AB676" s="1410"/>
      <c r="AC676" s="1410"/>
      <c r="AD676" s="1410"/>
      <c r="AE676" s="1410"/>
      <c r="AF676" s="1410"/>
      <c r="AG676" s="1410"/>
      <c r="AH676" s="1410"/>
      <c r="AI676" s="1410"/>
      <c r="AJ676" s="1410"/>
      <c r="AK676" s="1410"/>
      <c r="AZ676" s="3"/>
    </row>
    <row r="677" spans="1:52" ht="13" customHeight="1">
      <c r="A677" s="22"/>
      <c r="B677" t="s">
        <v>581</v>
      </c>
      <c r="G677" s="1410"/>
      <c r="H677" s="1410"/>
      <c r="I677" s="1410"/>
      <c r="J677" s="1410"/>
      <c r="K677" s="1410"/>
      <c r="L677" s="1410"/>
      <c r="M677" s="1410"/>
      <c r="N677" s="1410"/>
      <c r="O677" s="1410"/>
      <c r="P677" s="1410"/>
      <c r="Q677" s="1410"/>
      <c r="R677" s="1410"/>
      <c r="T677" s="22"/>
      <c r="U677" t="s">
        <v>581</v>
      </c>
      <c r="Z677" s="1374"/>
      <c r="AA677" s="1374"/>
      <c r="AB677" s="1374"/>
      <c r="AC677" s="1374"/>
      <c r="AD677" s="1374"/>
      <c r="AE677" s="1374"/>
      <c r="AF677" s="1374"/>
      <c r="AG677" s="1374"/>
      <c r="AH677" s="1374"/>
      <c r="AI677" s="1374"/>
      <c r="AJ677" s="1374"/>
      <c r="AK677" s="1374"/>
      <c r="AZ677" s="3"/>
    </row>
    <row r="678" spans="1:52" ht="13" customHeight="1">
      <c r="A678" s="22"/>
      <c r="B678" t="s">
        <v>17</v>
      </c>
      <c r="G678" s="1410"/>
      <c r="H678" s="1410"/>
      <c r="I678" s="1410"/>
      <c r="J678" s="1410"/>
      <c r="K678" s="1410"/>
      <c r="L678" s="1410"/>
      <c r="M678" s="1410"/>
      <c r="N678" s="1410"/>
      <c r="O678" s="1410"/>
      <c r="P678" s="1410"/>
      <c r="Q678" s="1410"/>
      <c r="R678" s="1410"/>
      <c r="T678" s="22"/>
      <c r="U678" t="s">
        <v>17</v>
      </c>
      <c r="Z678" s="1374"/>
      <c r="AA678" s="1374"/>
      <c r="AB678" s="1374"/>
      <c r="AC678" s="1374"/>
      <c r="AD678" s="1374"/>
      <c r="AE678" s="1374"/>
      <c r="AF678" s="1374"/>
      <c r="AG678" s="1374"/>
      <c r="AH678" s="1374"/>
      <c r="AI678" s="1374"/>
      <c r="AJ678" s="1374"/>
      <c r="AK678" s="1374"/>
      <c r="AZ678" s="3"/>
    </row>
    <row r="679" spans="1:52" ht="13" customHeight="1">
      <c r="A679" s="22"/>
      <c r="B679" t="s">
        <v>316</v>
      </c>
      <c r="G679" s="1490"/>
      <c r="H679" s="1490"/>
      <c r="I679" s="1490"/>
      <c r="J679" s="1490"/>
      <c r="K679" s="1490"/>
      <c r="L679" s="1490"/>
      <c r="O679" s="33" t="s">
        <v>206</v>
      </c>
      <c r="P679" s="1474"/>
      <c r="Q679" s="1474"/>
      <c r="R679" s="1474"/>
      <c r="T679" s="22"/>
      <c r="U679" t="s">
        <v>316</v>
      </c>
      <c r="Z679" s="1490"/>
      <c r="AA679" s="1490"/>
      <c r="AB679" s="1490"/>
      <c r="AC679" s="1490"/>
      <c r="AD679" s="1490"/>
      <c r="AE679" s="1490"/>
      <c r="AH679" s="33" t="s">
        <v>206</v>
      </c>
      <c r="AI679" s="1474"/>
      <c r="AJ679" s="1474"/>
      <c r="AK679" s="1474"/>
      <c r="AZ679" s="3"/>
    </row>
    <row r="680" spans="1:52" ht="13" customHeight="1">
      <c r="A680" s="22"/>
      <c r="B680" t="s">
        <v>18</v>
      </c>
      <c r="H680" s="1410"/>
      <c r="I680" s="1410"/>
      <c r="J680" s="1410"/>
      <c r="K680" s="1410"/>
      <c r="L680" s="1410"/>
      <c r="M680" s="1410"/>
      <c r="N680" s="1410"/>
      <c r="O680" s="1410"/>
      <c r="P680" s="1410"/>
      <c r="Q680" s="1410"/>
      <c r="R680" s="1410"/>
      <c r="T680" s="22"/>
      <c r="U680" t="s">
        <v>18</v>
      </c>
      <c r="AA680" s="1410"/>
      <c r="AB680" s="1410"/>
      <c r="AC680" s="1410"/>
      <c r="AD680" s="1410"/>
      <c r="AE680" s="1410"/>
      <c r="AF680" s="1410"/>
      <c r="AG680" s="1410"/>
      <c r="AH680" s="1410"/>
      <c r="AI680" s="1410"/>
      <c r="AJ680" s="1410"/>
      <c r="AK680" s="1410"/>
      <c r="AZ680" s="3"/>
    </row>
    <row r="681" spans="1:52" ht="13" customHeight="1">
      <c r="A681" s="22"/>
      <c r="B681" t="s">
        <v>20</v>
      </c>
      <c r="N681" s="1418" t="s">
        <v>670</v>
      </c>
      <c r="O681" s="1418"/>
      <c r="T681" s="22"/>
      <c r="U681" t="s">
        <v>20</v>
      </c>
      <c r="AG681" s="1418" t="s">
        <v>670</v>
      </c>
      <c r="AH681" s="1418"/>
      <c r="AZ681" s="3"/>
    </row>
    <row r="682" spans="1:52" ht="13" customHeight="1">
      <c r="A682" s="22"/>
      <c r="T682" s="22"/>
      <c r="AZ682" s="3"/>
    </row>
    <row r="683" spans="1:52" ht="13" customHeight="1">
      <c r="A683" s="55" t="s">
        <v>362</v>
      </c>
      <c r="B683" t="s">
        <v>464</v>
      </c>
      <c r="G683" s="1486">
        <f>C637</f>
        <v>0</v>
      </c>
      <c r="H683" s="1486"/>
      <c r="I683" s="1486"/>
      <c r="J683" s="1486"/>
      <c r="K683" s="1486"/>
      <c r="L683" s="1486"/>
      <c r="M683" s="1486"/>
      <c r="N683" s="1486"/>
      <c r="O683" s="1486"/>
      <c r="P683" s="1486"/>
      <c r="Q683" s="1486"/>
      <c r="R683" s="1486"/>
      <c r="T683" s="55" t="s">
        <v>363</v>
      </c>
      <c r="U683" t="s">
        <v>464</v>
      </c>
      <c r="Z683" s="1486">
        <f>C638</f>
        <v>0</v>
      </c>
      <c r="AA683" s="1486"/>
      <c r="AB683" s="1486"/>
      <c r="AC683" s="1486"/>
      <c r="AD683" s="1486"/>
      <c r="AE683" s="1486"/>
      <c r="AF683" s="1486"/>
      <c r="AG683" s="1486"/>
      <c r="AH683" s="1486"/>
      <c r="AI683" s="1486"/>
      <c r="AJ683" s="1486"/>
      <c r="AK683" s="1486"/>
      <c r="AZ683" s="3"/>
    </row>
    <row r="684" spans="1:52" ht="13" customHeight="1">
      <c r="B684" t="s">
        <v>85</v>
      </c>
      <c r="G684" s="1410"/>
      <c r="H684" s="1410"/>
      <c r="I684" s="1410"/>
      <c r="J684" s="1410"/>
      <c r="K684" s="1410"/>
      <c r="L684" s="1410"/>
      <c r="M684" s="1410"/>
      <c r="N684" s="1410"/>
      <c r="O684" s="1410"/>
      <c r="P684" s="1410"/>
      <c r="Q684" s="1410"/>
      <c r="R684" s="1410"/>
      <c r="T684" s="22"/>
      <c r="U684" t="s">
        <v>85</v>
      </c>
      <c r="Z684" s="1410"/>
      <c r="AA684" s="1410"/>
      <c r="AB684" s="1410"/>
      <c r="AC684" s="1410"/>
      <c r="AD684" s="1410"/>
      <c r="AE684" s="1410"/>
      <c r="AF684" s="1410"/>
      <c r="AG684" s="1410"/>
      <c r="AH684" s="1410"/>
      <c r="AI684" s="1410"/>
      <c r="AJ684" s="1410"/>
      <c r="AK684" s="1410"/>
      <c r="AZ684" s="3"/>
    </row>
    <row r="685" spans="1:52" ht="13" customHeight="1">
      <c r="B685" t="s">
        <v>581</v>
      </c>
      <c r="G685" s="1410"/>
      <c r="H685" s="1410"/>
      <c r="I685" s="1410"/>
      <c r="J685" s="1410"/>
      <c r="K685" s="1410"/>
      <c r="L685" s="1410"/>
      <c r="M685" s="1410"/>
      <c r="N685" s="1410"/>
      <c r="O685" s="1410"/>
      <c r="P685" s="1410"/>
      <c r="Q685" s="1410"/>
      <c r="R685" s="1410"/>
      <c r="U685" t="s">
        <v>581</v>
      </c>
      <c r="Z685" s="1374"/>
      <c r="AA685" s="1374"/>
      <c r="AB685" s="1374"/>
      <c r="AC685" s="1374"/>
      <c r="AD685" s="1374"/>
      <c r="AE685" s="1374"/>
      <c r="AF685" s="1374"/>
      <c r="AG685" s="1374"/>
      <c r="AH685" s="1374"/>
      <c r="AI685" s="1374"/>
      <c r="AJ685" s="1374"/>
      <c r="AK685" s="1374"/>
      <c r="AZ685" s="3"/>
    </row>
    <row r="686" spans="1:52" ht="13" customHeight="1">
      <c r="B686" t="s">
        <v>17</v>
      </c>
      <c r="G686" s="1410"/>
      <c r="H686" s="1410"/>
      <c r="I686" s="1410"/>
      <c r="J686" s="1410"/>
      <c r="K686" s="1410"/>
      <c r="L686" s="1410"/>
      <c r="M686" s="1410"/>
      <c r="N686" s="1410"/>
      <c r="O686" s="1410"/>
      <c r="P686" s="1410"/>
      <c r="Q686" s="1410"/>
      <c r="R686" s="1410"/>
      <c r="U686" t="s">
        <v>17</v>
      </c>
      <c r="Z686" s="1374"/>
      <c r="AA686" s="1374"/>
      <c r="AB686" s="1374"/>
      <c r="AC686" s="1374"/>
      <c r="AD686" s="1374"/>
      <c r="AE686" s="1374"/>
      <c r="AF686" s="1374"/>
      <c r="AG686" s="1374"/>
      <c r="AH686" s="1374"/>
      <c r="AI686" s="1374"/>
      <c r="AJ686" s="1374"/>
      <c r="AK686" s="1374"/>
      <c r="AZ686" s="3"/>
    </row>
    <row r="687" spans="1:52" ht="13" customHeight="1">
      <c r="B687" t="s">
        <v>316</v>
      </c>
      <c r="G687" s="1490"/>
      <c r="H687" s="1490"/>
      <c r="I687" s="1490"/>
      <c r="J687" s="1490"/>
      <c r="K687" s="1490"/>
      <c r="L687" s="1490"/>
      <c r="O687" s="33" t="s">
        <v>206</v>
      </c>
      <c r="P687" s="1474"/>
      <c r="Q687" s="1474"/>
      <c r="R687" s="1474"/>
      <c r="U687" t="s">
        <v>316</v>
      </c>
      <c r="Z687" s="1490"/>
      <c r="AA687" s="1490"/>
      <c r="AB687" s="1490"/>
      <c r="AC687" s="1490"/>
      <c r="AD687" s="1490"/>
      <c r="AE687" s="1490"/>
      <c r="AH687" s="33" t="s">
        <v>206</v>
      </c>
      <c r="AI687" s="1474"/>
      <c r="AJ687" s="1474"/>
      <c r="AK687" s="1474"/>
      <c r="AZ687" s="3"/>
    </row>
    <row r="688" spans="1:52" ht="13" customHeight="1">
      <c r="B688" t="s">
        <v>18</v>
      </c>
      <c r="H688" s="1410"/>
      <c r="I688" s="1410"/>
      <c r="J688" s="1410"/>
      <c r="K688" s="1410"/>
      <c r="L688" s="1410"/>
      <c r="M688" s="1410"/>
      <c r="N688" s="1410"/>
      <c r="O688" s="1410"/>
      <c r="P688" s="1410"/>
      <c r="Q688" s="1410"/>
      <c r="R688" s="1410"/>
      <c r="U688" t="s">
        <v>18</v>
      </c>
      <c r="AA688" s="1410"/>
      <c r="AB688" s="1410"/>
      <c r="AC688" s="1410"/>
      <c r="AD688" s="1410"/>
      <c r="AE688" s="1410"/>
      <c r="AF688" s="1410"/>
      <c r="AG688" s="1410"/>
      <c r="AH688" s="1410"/>
      <c r="AI688" s="1410"/>
      <c r="AJ688" s="1410"/>
      <c r="AK688" s="1410"/>
      <c r="AZ688" s="3"/>
    </row>
    <row r="689" spans="1:67" ht="13" customHeight="1">
      <c r="B689" t="s">
        <v>20</v>
      </c>
      <c r="N689" s="1418" t="s">
        <v>670</v>
      </c>
      <c r="O689" s="1418"/>
      <c r="U689" t="s">
        <v>20</v>
      </c>
      <c r="AG689" s="1418" t="s">
        <v>670</v>
      </c>
      <c r="AH689" s="1418"/>
      <c r="AZ689" s="3"/>
    </row>
    <row r="690" spans="1:67" ht="13" customHeight="1">
      <c r="AZ690" s="3"/>
    </row>
    <row r="691" spans="1:67" ht="13" customHeight="1">
      <c r="A691" s="2" t="s">
        <v>577</v>
      </c>
      <c r="C691" s="2" t="s">
        <v>327</v>
      </c>
      <c r="E691" s="130"/>
      <c r="F691" s="130"/>
      <c r="G691" s="130"/>
      <c r="H691" s="130"/>
      <c r="AZ691" s="3"/>
    </row>
    <row r="692" spans="1:67" ht="13" customHeight="1">
      <c r="B692" s="135"/>
      <c r="C692" s="135"/>
      <c r="D692" s="136" t="s">
        <v>434</v>
      </c>
      <c r="E692" s="135"/>
      <c r="F692" s="135"/>
      <c r="G692" s="135"/>
      <c r="H692" s="135"/>
      <c r="AZ692" s="3"/>
    </row>
    <row r="693" spans="1:67" ht="13" customHeight="1">
      <c r="B693" s="135"/>
      <c r="C693" s="135"/>
      <c r="E693" s="136" t="s">
        <v>435</v>
      </c>
      <c r="F693" s="135"/>
      <c r="G693" s="135"/>
      <c r="H693" s="135"/>
      <c r="AE693" s="1418" t="s">
        <v>546</v>
      </c>
      <c r="AF693" s="1418"/>
      <c r="AZ693" s="3"/>
    </row>
    <row r="694" spans="1:67" ht="13" customHeight="1">
      <c r="B694" s="135"/>
      <c r="C694" s="135"/>
      <c r="D694" s="136" t="s">
        <v>438</v>
      </c>
      <c r="E694" s="135"/>
      <c r="F694" s="135"/>
      <c r="G694" s="135"/>
      <c r="H694" s="135"/>
      <c r="AE694" s="1418" t="s">
        <v>546</v>
      </c>
      <c r="AF694" s="1418"/>
      <c r="AZ694" s="3"/>
    </row>
    <row r="695" spans="1:67" ht="13" customHeight="1">
      <c r="B695" s="135"/>
      <c r="C695" s="135"/>
      <c r="D695" s="136" t="s">
        <v>921</v>
      </c>
      <c r="E695" s="135"/>
      <c r="F695" s="135"/>
      <c r="G695" s="135"/>
      <c r="H695" s="135"/>
      <c r="AE695" s="1501">
        <v>45797</v>
      </c>
      <c r="AF695" s="1501"/>
      <c r="AG695" s="1501"/>
      <c r="AH695" s="1501"/>
      <c r="AI695" s="1501"/>
    </row>
    <row r="696" spans="1:67" ht="13" customHeight="1">
      <c r="B696" s="135"/>
      <c r="C696" s="135"/>
      <c r="D696" s="317" t="s">
        <v>984</v>
      </c>
      <c r="E696" s="135"/>
      <c r="F696" s="135"/>
      <c r="G696" s="135"/>
      <c r="H696" s="135"/>
      <c r="AE696" s="1670">
        <v>45874</v>
      </c>
      <c r="AF696" s="1670"/>
      <c r="AG696" s="1670"/>
      <c r="AH696" s="1670"/>
      <c r="AI696" s="1670"/>
    </row>
    <row r="697" spans="1:67" ht="13" customHeight="1">
      <c r="B697" s="135"/>
      <c r="C697" s="135"/>
    </row>
    <row r="698" spans="1:67" ht="13" customHeight="1">
      <c r="B698" s="135"/>
      <c r="C698" s="135"/>
      <c r="D698" s="136" t="s">
        <v>817</v>
      </c>
      <c r="E698" s="135"/>
      <c r="F698" s="135"/>
      <c r="G698" s="135"/>
      <c r="H698" s="135"/>
      <c r="AE698" s="1501">
        <v>46047</v>
      </c>
      <c r="AF698" s="1501"/>
      <c r="AG698" s="1501"/>
      <c r="AH698" s="1501"/>
      <c r="AI698" s="1501"/>
    </row>
    <row r="699" spans="1:67" ht="13" customHeight="1">
      <c r="B699" s="135"/>
      <c r="C699" s="135"/>
      <c r="D699" s="136" t="s">
        <v>436</v>
      </c>
      <c r="E699" s="135"/>
      <c r="F699" s="135"/>
      <c r="G699" s="135"/>
      <c r="H699" s="135"/>
      <c r="AE699" s="1690">
        <v>0.54690000000000005</v>
      </c>
      <c r="AF699" s="1690"/>
      <c r="AG699" s="1690"/>
      <c r="AH699" s="1690"/>
      <c r="AI699" s="1690"/>
    </row>
    <row r="700" spans="1:67" ht="13" customHeight="1">
      <c r="B700" s="135"/>
      <c r="C700" s="135"/>
      <c r="D700" s="136" t="s">
        <v>437</v>
      </c>
      <c r="E700" s="135"/>
      <c r="F700" s="135"/>
      <c r="G700" s="135"/>
      <c r="H700" s="135"/>
      <c r="W700" s="1486" t="str">
        <f>H335</f>
        <v>California Housing Finance Agency</v>
      </c>
      <c r="X700" s="1486"/>
      <c r="Y700" s="1486"/>
      <c r="Z700" s="1486"/>
      <c r="AA700" s="1486"/>
      <c r="AB700" s="1486"/>
      <c r="AC700" s="1486"/>
      <c r="AD700" s="1486"/>
      <c r="AE700" s="1486"/>
      <c r="AF700" s="1486"/>
      <c r="AG700" s="1486"/>
      <c r="AH700" s="1486"/>
      <c r="AI700" s="1486"/>
      <c r="AJ700" s="1486"/>
      <c r="AK700" s="1486"/>
    </row>
    <row r="701" spans="1:67" ht="13" customHeight="1">
      <c r="B701" s="135"/>
      <c r="C701" s="135"/>
      <c r="D701" s="136"/>
      <c r="E701" s="135"/>
      <c r="F701" s="135"/>
      <c r="G701" s="135"/>
      <c r="H701" s="135"/>
    </row>
    <row r="702" spans="1:67" ht="13" customHeight="1">
      <c r="B702" s="135"/>
      <c r="C702" s="135"/>
      <c r="D702" s="136" t="s">
        <v>439</v>
      </c>
      <c r="E702" s="135"/>
      <c r="F702" s="135"/>
      <c r="G702" s="135"/>
      <c r="H702" s="135"/>
      <c r="AE702" s="1418" t="s">
        <v>670</v>
      </c>
      <c r="AF702" s="1418"/>
      <c r="AZ702" s="4" t="s">
        <v>324</v>
      </c>
    </row>
    <row r="703" spans="1:67" ht="13" customHeight="1">
      <c r="B703" s="135"/>
      <c r="C703" s="135"/>
      <c r="D703" s="136" t="s">
        <v>443</v>
      </c>
      <c r="E703" s="135"/>
      <c r="F703" s="135"/>
      <c r="G703" s="135"/>
      <c r="H703" s="135"/>
      <c r="W703" s="1410" t="s">
        <v>592</v>
      </c>
      <c r="X703" s="1410"/>
      <c r="Y703" s="1410"/>
      <c r="Z703" s="1410"/>
      <c r="AA703" s="1410"/>
      <c r="AB703" s="1410"/>
      <c r="AC703" s="1410"/>
      <c r="AD703" s="1410"/>
      <c r="AE703" s="1410"/>
      <c r="AF703" s="1410"/>
      <c r="AG703" s="1410"/>
      <c r="AH703" s="1410"/>
      <c r="AI703" s="1410"/>
      <c r="AJ703" s="1410"/>
      <c r="AK703" s="1410"/>
      <c r="AZ703" s="4" t="s">
        <v>325</v>
      </c>
    </row>
    <row r="704" spans="1:67" ht="13" customHeight="1">
      <c r="B704" s="135"/>
      <c r="C704" s="135"/>
      <c r="D704" s="136" t="s">
        <v>87</v>
      </c>
      <c r="E704" s="135"/>
      <c r="F704" s="135"/>
      <c r="G704" s="135"/>
      <c r="H704" s="135"/>
      <c r="J704" s="1410" t="s">
        <v>592</v>
      </c>
      <c r="K704" s="1410"/>
      <c r="L704" s="1410"/>
      <c r="M704" s="1410"/>
      <c r="N704" s="1410"/>
      <c r="O704" s="1410"/>
      <c r="P704" s="1410"/>
      <c r="Q704" s="1410"/>
      <c r="R704" s="1410"/>
      <c r="S704" s="1410"/>
      <c r="T704" s="1410"/>
      <c r="U704" s="1410"/>
      <c r="V704" s="1410"/>
      <c r="W704" s="1410"/>
      <c r="X704" s="1410"/>
      <c r="AZ704" s="4" t="s">
        <v>163</v>
      </c>
      <c r="BB704" s="34"/>
      <c r="BC704" s="34"/>
      <c r="BD704" s="34"/>
      <c r="BE704" s="3"/>
      <c r="BF704" s="3"/>
      <c r="BJ704" s="3"/>
      <c r="BK704" s="3"/>
      <c r="BL704" s="3"/>
      <c r="BM704" s="3"/>
      <c r="BN704" s="34"/>
      <c r="BO704" s="34"/>
    </row>
    <row r="705" spans="1:185" ht="13" customHeight="1">
      <c r="B705" s="135"/>
      <c r="C705" s="135"/>
      <c r="D705" s="136" t="s">
        <v>88</v>
      </c>
      <c r="J705" s="1520" t="s">
        <v>592</v>
      </c>
      <c r="K705" s="1490"/>
      <c r="L705" s="1490"/>
      <c r="M705" s="1490"/>
      <c r="N705" s="1490"/>
      <c r="O705" s="1490"/>
      <c r="P705" s="4" t="s">
        <v>206</v>
      </c>
      <c r="Q705" s="4"/>
      <c r="R705" s="1493" t="s">
        <v>592</v>
      </c>
      <c r="S705" s="1474"/>
      <c r="T705" s="1474"/>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444</v>
      </c>
      <c r="W706" s="1410" t="s">
        <v>307</v>
      </c>
      <c r="X706" s="1410"/>
      <c r="Y706" s="1410"/>
      <c r="Z706" s="1410"/>
      <c r="AA706" s="1410"/>
      <c r="AB706" s="1410"/>
      <c r="AC706" s="1410"/>
      <c r="AD706" s="1410"/>
      <c r="AE706" s="1410"/>
      <c r="AF706" s="1410"/>
      <c r="AG706" s="1410"/>
      <c r="AH706" s="1410"/>
      <c r="AI706" s="1410"/>
      <c r="AJ706" s="1410"/>
      <c r="AK706" s="1410"/>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10" t="s">
        <v>592</v>
      </c>
      <c r="F707" s="1410"/>
      <c r="G707" s="1410"/>
      <c r="H707" s="1410"/>
      <c r="I707" s="1410"/>
      <c r="J707" s="1410"/>
      <c r="K707" s="1410"/>
      <c r="L707" s="1410"/>
      <c r="M707" s="1410"/>
      <c r="N707" s="1410"/>
      <c r="O707" s="1410"/>
      <c r="P707" s="1410"/>
      <c r="Q707" s="1410"/>
      <c r="R707" s="1410"/>
      <c r="S707" s="1410"/>
      <c r="T707" s="1410"/>
      <c r="U707" s="1410"/>
      <c r="V707" s="1410"/>
      <c r="W707" s="1410"/>
      <c r="X707" s="1410"/>
      <c r="Y707" s="1410"/>
      <c r="Z707" s="1410"/>
      <c r="AA707" s="1410"/>
      <c r="AB707" s="1410"/>
      <c r="AC707" s="1410"/>
      <c r="AD707" s="1410"/>
      <c r="AE707" s="1410"/>
      <c r="AF707" s="1410"/>
      <c r="AG707" s="1410"/>
      <c r="AH707" s="1410"/>
      <c r="AI707" s="1410"/>
      <c r="AJ707" s="1410"/>
      <c r="AK707" s="1410"/>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3" t="s">
        <v>95</v>
      </c>
      <c r="B709" s="1273"/>
      <c r="C709" s="1273"/>
      <c r="D709" s="1273"/>
      <c r="E709" s="1273"/>
      <c r="F709" s="1273"/>
      <c r="G709" s="1273"/>
      <c r="H709" s="1273"/>
      <c r="I709" s="1273"/>
      <c r="J709" s="1273"/>
      <c r="K709" s="1273"/>
      <c r="L709" s="1273"/>
      <c r="M709" s="1273"/>
      <c r="N709" s="1273"/>
      <c r="O709" s="1273"/>
      <c r="P709" s="1273"/>
      <c r="Q709" s="1273"/>
      <c r="R709" s="1273"/>
      <c r="S709" s="1273"/>
      <c r="T709" s="1273"/>
      <c r="U709" s="1273"/>
      <c r="V709" s="1273"/>
      <c r="W709" s="1273"/>
      <c r="X709" s="1273"/>
      <c r="Y709" s="1273"/>
      <c r="Z709" s="1273"/>
      <c r="AA709" s="1273"/>
      <c r="AB709" s="1273"/>
      <c r="AC709" s="1273"/>
      <c r="AD709" s="1273"/>
      <c r="AE709" s="1273"/>
      <c r="AF709" s="1273"/>
      <c r="AG709" s="1273"/>
      <c r="AH709" s="1273"/>
      <c r="AI709" s="1273"/>
      <c r="AJ709" s="1273"/>
      <c r="AK709" s="1273"/>
      <c r="AL709" s="1273"/>
      <c r="AM709" s="1273"/>
      <c r="AN709" s="1273"/>
      <c r="AO709" s="1273"/>
      <c r="AP709" s="1273"/>
      <c r="AQ709" s="1273"/>
      <c r="AR709" s="1273"/>
      <c r="AS709" s="1273"/>
      <c r="AT709" s="127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3"/>
      <c r="B710" s="1273"/>
      <c r="C710" s="1273"/>
      <c r="D710" s="1273"/>
      <c r="E710" s="1273"/>
      <c r="F710" s="1273"/>
      <c r="G710" s="1273"/>
      <c r="H710" s="1273"/>
      <c r="I710" s="1273"/>
      <c r="J710" s="1273"/>
      <c r="K710" s="1273"/>
      <c r="L710" s="1273"/>
      <c r="M710" s="1273"/>
      <c r="N710" s="1273"/>
      <c r="O710" s="1273"/>
      <c r="P710" s="1273"/>
      <c r="Q710" s="1273"/>
      <c r="R710" s="1273"/>
      <c r="S710" s="1273"/>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3"/>
      <c r="B711" s="1273"/>
      <c r="C711" s="1273"/>
      <c r="D711" s="1273"/>
      <c r="E711" s="1273"/>
      <c r="F711" s="1273"/>
      <c r="G711" s="1273"/>
      <c r="H711" s="1273"/>
      <c r="I711" s="1273"/>
      <c r="J711" s="1273"/>
      <c r="K711" s="1273"/>
      <c r="L711" s="1273"/>
      <c r="M711" s="1273"/>
      <c r="N711" s="1273"/>
      <c r="O711" s="1273"/>
      <c r="P711" s="1273"/>
      <c r="Q711" s="1273"/>
      <c r="R711" s="1273"/>
      <c r="S711" s="1273"/>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614" t="s">
        <v>389</v>
      </c>
      <c r="C714" s="1503"/>
      <c r="D714" s="1503"/>
      <c r="E714" s="1503"/>
      <c r="F714" s="1504"/>
      <c r="G714" s="1614" t="s">
        <v>285</v>
      </c>
      <c r="H714" s="1503"/>
      <c r="I714" s="1503"/>
      <c r="J714" s="1504"/>
      <c r="K714" s="1514" t="s">
        <v>1680</v>
      </c>
      <c r="L714" s="1515"/>
      <c r="M714" s="1515"/>
      <c r="N714" s="1516"/>
      <c r="O714" s="1614" t="s">
        <v>448</v>
      </c>
      <c r="P714" s="1503"/>
      <c r="Q714" s="1503"/>
      <c r="R714" s="1503"/>
      <c r="S714" s="1504"/>
      <c r="T714" s="1502" t="s">
        <v>1951</v>
      </c>
      <c r="U714" s="1503"/>
      <c r="V714" s="1503"/>
      <c r="W714" s="1504"/>
      <c r="X714" s="1502" t="s">
        <v>1953</v>
      </c>
      <c r="Y714" s="1503"/>
      <c r="Z714" s="1503"/>
      <c r="AA714" s="1503"/>
      <c r="AB714" s="1504"/>
      <c r="AC714" s="1502" t="s">
        <v>1952</v>
      </c>
      <c r="AD714" s="1503"/>
      <c r="AE714" s="1503"/>
      <c r="AF714" s="1503"/>
      <c r="AG714" s="1504"/>
      <c r="AH714" s="1502" t="s">
        <v>1954</v>
      </c>
      <c r="AI714" s="1503"/>
      <c r="AJ714" s="1504"/>
      <c r="AK714" s="1502" t="s">
        <v>1981</v>
      </c>
      <c r="AL714" s="1503"/>
      <c r="AM714" s="1503"/>
      <c r="AN714" s="1503"/>
      <c r="AO714" s="150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505"/>
      <c r="C715" s="1506"/>
      <c r="D715" s="1506"/>
      <c r="E715" s="1506"/>
      <c r="F715" s="1507"/>
      <c r="G715" s="1505"/>
      <c r="H715" s="1506"/>
      <c r="I715" s="1506"/>
      <c r="J715" s="1507"/>
      <c r="K715" s="1517"/>
      <c r="L715" s="1518"/>
      <c r="M715" s="1518"/>
      <c r="N715" s="1519"/>
      <c r="O715" s="1505"/>
      <c r="P715" s="1506"/>
      <c r="Q715" s="1506"/>
      <c r="R715" s="1506"/>
      <c r="S715" s="1507"/>
      <c r="T715" s="1505"/>
      <c r="U715" s="1506"/>
      <c r="V715" s="1506"/>
      <c r="W715" s="1507"/>
      <c r="X715" s="1505"/>
      <c r="Y715" s="1506"/>
      <c r="Z715" s="1506"/>
      <c r="AA715" s="1506"/>
      <c r="AB715" s="1507"/>
      <c r="AC715" s="1505"/>
      <c r="AD715" s="1506"/>
      <c r="AE715" s="1506"/>
      <c r="AF715" s="1506"/>
      <c r="AG715" s="1507"/>
      <c r="AH715" s="1505"/>
      <c r="AI715" s="1506"/>
      <c r="AJ715" s="1507"/>
      <c r="AK715" s="1505"/>
      <c r="AL715" s="1506"/>
      <c r="AM715" s="1506"/>
      <c r="AN715" s="1506"/>
      <c r="AO715" s="150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505"/>
      <c r="C716" s="1506"/>
      <c r="D716" s="1506"/>
      <c r="E716" s="1506"/>
      <c r="F716" s="1507"/>
      <c r="G716" s="1505"/>
      <c r="H716" s="1506"/>
      <c r="I716" s="1506"/>
      <c r="J716" s="1507"/>
      <c r="K716" s="1517"/>
      <c r="L716" s="1518"/>
      <c r="M716" s="1518"/>
      <c r="N716" s="1519"/>
      <c r="O716" s="1505"/>
      <c r="P716" s="1506"/>
      <c r="Q716" s="1506"/>
      <c r="R716" s="1506"/>
      <c r="S716" s="1507"/>
      <c r="T716" s="1505"/>
      <c r="U716" s="1506"/>
      <c r="V716" s="1506"/>
      <c r="W716" s="1507"/>
      <c r="X716" s="1505"/>
      <c r="Y716" s="1506"/>
      <c r="Z716" s="1506"/>
      <c r="AA716" s="1506"/>
      <c r="AB716" s="1507"/>
      <c r="AC716" s="1505"/>
      <c r="AD716" s="1506"/>
      <c r="AE716" s="1506"/>
      <c r="AF716" s="1506"/>
      <c r="AG716" s="1507"/>
      <c r="AH716" s="1505"/>
      <c r="AI716" s="1506"/>
      <c r="AJ716" s="1507"/>
      <c r="AK716" s="1505"/>
      <c r="AL716" s="1506"/>
      <c r="AM716" s="1506"/>
      <c r="AN716" s="1506"/>
      <c r="AO716" s="150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8"/>
      <c r="C717" s="1509"/>
      <c r="D717" s="1509"/>
      <c r="E717" s="1509"/>
      <c r="F717" s="1510"/>
      <c r="G717" s="1508"/>
      <c r="H717" s="1509"/>
      <c r="I717" s="1509"/>
      <c r="J717" s="1510"/>
      <c r="K717" s="1517"/>
      <c r="L717" s="1518"/>
      <c r="M717" s="1518"/>
      <c r="N717" s="1519"/>
      <c r="O717" s="1508"/>
      <c r="P717" s="1509"/>
      <c r="Q717" s="1509"/>
      <c r="R717" s="1509"/>
      <c r="S717" s="1510"/>
      <c r="T717" s="1508"/>
      <c r="U717" s="1509"/>
      <c r="V717" s="1509"/>
      <c r="W717" s="1510"/>
      <c r="X717" s="1508"/>
      <c r="Y717" s="1509"/>
      <c r="Z717" s="1509"/>
      <c r="AA717" s="1509"/>
      <c r="AB717" s="1510"/>
      <c r="AC717" s="1508"/>
      <c r="AD717" s="1509"/>
      <c r="AE717" s="1509"/>
      <c r="AF717" s="1509"/>
      <c r="AG717" s="1510"/>
      <c r="AH717" s="1508"/>
      <c r="AI717" s="1509"/>
      <c r="AJ717" s="1510"/>
      <c r="AK717" s="1508"/>
      <c r="AL717" s="1509"/>
      <c r="AM717" s="1509"/>
      <c r="AN717" s="1509"/>
      <c r="AO717" s="151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8"/>
      <c r="CJ717" s="1340"/>
      <c r="CK717" s="121" t="s">
        <v>476</v>
      </c>
      <c r="CL717" s="122"/>
      <c r="CM717" s="1338"/>
      <c r="CN717" s="1340"/>
      <c r="CO717" s="3"/>
      <c r="CP717" s="1800" t="s">
        <v>634</v>
      </c>
      <c r="CQ717" s="1801"/>
      <c r="CR717" s="1801"/>
      <c r="CS717" s="1801"/>
      <c r="CT717" s="1802"/>
      <c r="CU717" s="1491" t="s">
        <v>325</v>
      </c>
      <c r="CV717" s="1491"/>
      <c r="CW717" s="1491"/>
      <c r="CX717" s="1491"/>
      <c r="CY717" s="1491"/>
      <c r="CZ717" s="1491" t="s">
        <v>163</v>
      </c>
      <c r="DA717" s="1491"/>
      <c r="DB717" s="1491"/>
      <c r="DC717" s="1491"/>
      <c r="DD717" s="1491"/>
      <c r="DE717" s="1491" t="s">
        <v>164</v>
      </c>
      <c r="DF717" s="1491"/>
      <c r="DG717" s="1491"/>
      <c r="DH717" s="1491"/>
      <c r="DI717" s="1491"/>
      <c r="DJ717" s="1491" t="s">
        <v>461</v>
      </c>
      <c r="DK717" s="1491"/>
      <c r="DL717" s="1491"/>
      <c r="DM717" s="1491"/>
      <c r="DN717" s="1491"/>
      <c r="DO717" s="1491" t="s">
        <v>30</v>
      </c>
      <c r="DP717" s="1491"/>
      <c r="DQ717" s="1491"/>
      <c r="DR717" s="1491"/>
      <c r="DS717" s="1491"/>
      <c r="DT717" s="89"/>
      <c r="DU717" s="1491" t="s">
        <v>634</v>
      </c>
      <c r="DV717" s="1491"/>
      <c r="DW717" s="1491"/>
      <c r="DX717" s="1491"/>
      <c r="DY717" s="1491"/>
      <c r="DZ717" s="1491" t="s">
        <v>325</v>
      </c>
      <c r="EA717" s="1491"/>
      <c r="EB717" s="1491"/>
      <c r="EC717" s="1491"/>
      <c r="ED717" s="1491"/>
      <c r="EE717" s="1491" t="s">
        <v>163</v>
      </c>
      <c r="EF717" s="1491"/>
      <c r="EG717" s="1491"/>
      <c r="EH717" s="1491"/>
      <c r="EI717" s="1491"/>
      <c r="EJ717" s="1491" t="s">
        <v>164</v>
      </c>
      <c r="EK717" s="1491"/>
      <c r="EL717" s="1491"/>
      <c r="EM717" s="1491"/>
      <c r="EN717" s="1491"/>
      <c r="EO717" s="1491" t="s">
        <v>461</v>
      </c>
      <c r="EP717" s="1491"/>
      <c r="EQ717" s="1491"/>
      <c r="ER717" s="1491"/>
      <c r="ES717" s="1491"/>
      <c r="ET717" s="1491" t="s">
        <v>30</v>
      </c>
      <c r="EU717" s="1491"/>
      <c r="EV717" s="1491"/>
      <c r="EW717" s="1491"/>
      <c r="EX717" s="1491"/>
      <c r="EY717" s="4"/>
      <c r="EZ717" s="1491" t="s">
        <v>634</v>
      </c>
      <c r="FA717" s="1491"/>
      <c r="FB717" s="1491"/>
      <c r="FC717" s="1491"/>
      <c r="FD717" s="1491"/>
      <c r="FE717" s="1491" t="s">
        <v>325</v>
      </c>
      <c r="FF717" s="1491"/>
      <c r="FG717" s="1491"/>
      <c r="FH717" s="1491"/>
      <c r="FI717" s="1491"/>
      <c r="FJ717" s="1491" t="s">
        <v>163</v>
      </c>
      <c r="FK717" s="1491"/>
      <c r="FL717" s="1491"/>
      <c r="FM717" s="1491"/>
      <c r="FN717" s="1491"/>
      <c r="FO717" s="1491" t="s">
        <v>164</v>
      </c>
      <c r="FP717" s="1491"/>
      <c r="FQ717" s="1491"/>
      <c r="FR717" s="1491"/>
      <c r="FS717" s="1491"/>
      <c r="FT717" s="1491" t="s">
        <v>461</v>
      </c>
      <c r="FU717" s="1491"/>
      <c r="FV717" s="1491"/>
      <c r="FW717" s="1491"/>
      <c r="FX717" s="1491"/>
      <c r="FY717" s="1491" t="s">
        <v>30</v>
      </c>
      <c r="FZ717" s="1491"/>
      <c r="GA717" s="1491"/>
      <c r="GB717" s="1491"/>
      <c r="GC717" s="1491"/>
    </row>
    <row r="718" spans="1:185" ht="13" customHeight="1">
      <c r="A718" s="4"/>
      <c r="B718" s="1358" t="s">
        <v>325</v>
      </c>
      <c r="C718" s="1359"/>
      <c r="D718" s="1359"/>
      <c r="E718" s="1359"/>
      <c r="F718" s="1360"/>
      <c r="G718" s="1367">
        <v>5</v>
      </c>
      <c r="H718" s="1368"/>
      <c r="I718" s="1368"/>
      <c r="J718" s="1369"/>
      <c r="K718" s="1608">
        <v>555</v>
      </c>
      <c r="L718" s="1609"/>
      <c r="M718" s="1609"/>
      <c r="N718" s="1610"/>
      <c r="O718" s="1471">
        <v>844</v>
      </c>
      <c r="P718" s="1472"/>
      <c r="Q718" s="1472"/>
      <c r="R718" s="1472"/>
      <c r="S718" s="1473"/>
      <c r="T718" s="1471">
        <v>86</v>
      </c>
      <c r="U718" s="1472"/>
      <c r="V718" s="1472"/>
      <c r="W718" s="1473"/>
      <c r="X718" s="1361">
        <f t="shared" ref="X718:X741" si="8">O718+T718</f>
        <v>930</v>
      </c>
      <c r="Y718" s="1362"/>
      <c r="Z718" s="1362"/>
      <c r="AA718" s="1362"/>
      <c r="AB718" s="1363"/>
      <c r="AC718" s="1618">
        <v>0.3</v>
      </c>
      <c r="AD718" s="1619"/>
      <c r="AE718" s="1619"/>
      <c r="AF718" s="1619"/>
      <c r="AG718" s="1620"/>
      <c r="AH718" s="1364">
        <f>IF($AC718&gt;0,($X718/$AZ718), "")</f>
        <v>0.3</v>
      </c>
      <c r="AI718" s="1365"/>
      <c r="AJ718" s="1366"/>
      <c r="AK718" s="1358" t="s">
        <v>592</v>
      </c>
      <c r="AL718" s="1359"/>
      <c r="AM718" s="1359"/>
      <c r="AN718" s="1359"/>
      <c r="AO718" s="1360"/>
      <c r="AP718" s="3"/>
      <c r="AQ718" s="3"/>
      <c r="AR718" s="3"/>
      <c r="AS718" s="3"/>
      <c r="AZ718" s="118">
        <f t="shared" ref="AZ718:AZ752" si="9">IF($G718=0,"N/A",VLOOKUP($T$189,TC_Rent,(MATCH($B718,bedrooms,FALSE)),FALSE))</f>
        <v>3100</v>
      </c>
      <c r="BA718" s="3"/>
      <c r="BB718" s="3"/>
      <c r="BC718" s="3"/>
      <c r="BD718" s="3"/>
      <c r="BE718" s="204"/>
      <c r="BF718" s="293">
        <f t="shared" ref="BF718:BF752" si="10">G718</f>
        <v>5</v>
      </c>
      <c r="BG718" s="297">
        <f t="shared" ref="BG718:BG752" si="11">IF($BF$753=0,0,BF718/$BF$753)</f>
        <v>5.6179775280898875E-2</v>
      </c>
      <c r="BH718" s="298">
        <f t="shared" ref="BH718:BH752" si="12">IF(BG718=0,"",BG718*AC718)</f>
        <v>1.6853932584269662E-2</v>
      </c>
      <c r="BI718" s="3"/>
      <c r="BJ718" s="3"/>
      <c r="BK718" s="3"/>
      <c r="BL718" s="3"/>
      <c r="BM718" s="3"/>
      <c r="BN718" s="3"/>
      <c r="BS718" s="293">
        <f t="shared" ref="BS718:BS752" si="13">G718</f>
        <v>5</v>
      </c>
      <c r="BT718" s="297">
        <f t="shared" ref="BT718:BT752" si="14">IF($BS$753=0,0,BS718/$BS$753)</f>
        <v>5.6179775280898875E-2</v>
      </c>
      <c r="BU718" s="298">
        <f t="shared" ref="BU718:BU752" si="15">IF(BT718=0,"",BT718*AH718)</f>
        <v>1.6853932584269662E-2</v>
      </c>
      <c r="CC718" s="3"/>
      <c r="CD718" s="3"/>
      <c r="CE718" s="3"/>
      <c r="CF718" s="3"/>
      <c r="CG718" s="1354">
        <f>IF(AND(AC718&lt;=0.5,AC718&gt;=0.36),1,0)</f>
        <v>0</v>
      </c>
      <c r="CH718" s="1356"/>
      <c r="CI718" s="1338">
        <f>IF(CG718=1,G718,0)</f>
        <v>0</v>
      </c>
      <c r="CJ718" s="1340"/>
      <c r="CK718" s="1354">
        <f t="shared" ref="CK718:CK752" si="16">IF(AND(AC718&lt;=0.35,AC718&gt;0),1,0)</f>
        <v>1</v>
      </c>
      <c r="CL718" s="1356"/>
      <c r="CM718" s="1338">
        <f t="shared" ref="CM718:CM752" si="17">IF(CK718=1,G718,0)</f>
        <v>5</v>
      </c>
      <c r="CN718" s="1340"/>
      <c r="CO718" s="3"/>
      <c r="CP718" s="1335">
        <f t="shared" ref="CP718:CP752" si="18">IF(B718="SRO/Studio",G718,0)</f>
        <v>0</v>
      </c>
      <c r="CQ718" s="1336"/>
      <c r="CR718" s="1336"/>
      <c r="CS718" s="1336"/>
      <c r="CT718" s="1337"/>
      <c r="CU718" s="1357">
        <f t="shared" ref="CU718:CU752" si="19">IF(B718="1 Bedroom",G718,0)</f>
        <v>5</v>
      </c>
      <c r="CV718" s="1357"/>
      <c r="CW718" s="1357"/>
      <c r="CX718" s="1357"/>
      <c r="CY718" s="1357"/>
      <c r="CZ718" s="1357">
        <f t="shared" ref="CZ718:CZ752" si="20">IF(B718="2 Bedrooms",G718,0)</f>
        <v>0</v>
      </c>
      <c r="DA718" s="1357"/>
      <c r="DB718" s="1357"/>
      <c r="DC718" s="1357"/>
      <c r="DD718" s="1357"/>
      <c r="DE718" s="1357">
        <f t="shared" ref="DE718:DE752" si="21">IF(B718="3 Bedrooms",G718,0)</f>
        <v>0</v>
      </c>
      <c r="DF718" s="1357"/>
      <c r="DG718" s="1357"/>
      <c r="DH718" s="1357"/>
      <c r="DI718" s="1357"/>
      <c r="DJ718" s="1357">
        <f t="shared" ref="DJ718:DJ752" si="22">IF(B718="4 Bedrooms",G718,0)</f>
        <v>0</v>
      </c>
      <c r="DK718" s="1357"/>
      <c r="DL718" s="1357"/>
      <c r="DM718" s="1357"/>
      <c r="DN718" s="1357"/>
      <c r="DO718" s="1357">
        <f t="shared" ref="DO718:DO752" si="23">IF(B718="5 Bedrooms",G718,0)</f>
        <v>0</v>
      </c>
      <c r="DP718" s="1357"/>
      <c r="DQ718" s="1357"/>
      <c r="DR718" s="1357"/>
      <c r="DS718" s="1357"/>
      <c r="DT718" s="6"/>
      <c r="DU718" s="1371">
        <f t="shared" ref="DU718:DU752" si="24">IF(AND(B718="SRO/Studio",AC718&lt;=0.3),G718,0)</f>
        <v>0</v>
      </c>
      <c r="DV718" s="1371"/>
      <c r="DW718" s="1371"/>
      <c r="DX718" s="1371"/>
      <c r="DY718" s="1371"/>
      <c r="DZ718" s="1371">
        <f t="shared" ref="DZ718:DZ752" si="25">IF(AND(B718="1 Bedroom",AC718&lt;=0.3),G718,0)</f>
        <v>5</v>
      </c>
      <c r="EA718" s="1371"/>
      <c r="EB718" s="1371"/>
      <c r="EC718" s="1371"/>
      <c r="ED718" s="1371"/>
      <c r="EE718" s="1371">
        <f t="shared" ref="EE718:EE752" si="26">IF(AND(B718="2 Bedrooms",AC718&lt;=0.3),G718,0)</f>
        <v>0</v>
      </c>
      <c r="EF718" s="1371"/>
      <c r="EG718" s="1371"/>
      <c r="EH718" s="1371"/>
      <c r="EI718" s="1371"/>
      <c r="EJ718" s="1371">
        <f t="shared" ref="EJ718:EJ752" si="27">IF(AND(B718="3 Bedrooms",AC718&lt;=0.3),G718,0)</f>
        <v>0</v>
      </c>
      <c r="EK718" s="1371"/>
      <c r="EL718" s="1371"/>
      <c r="EM718" s="1371"/>
      <c r="EN718" s="1371"/>
      <c r="EO718" s="1371">
        <f t="shared" ref="EO718:EO752" si="28">IF(AND(B718="4 Bedrooms",AC718&lt;=0.3),G718,0)</f>
        <v>0</v>
      </c>
      <c r="EP718" s="1371"/>
      <c r="EQ718" s="1371"/>
      <c r="ER718" s="1371"/>
      <c r="ES718" s="1371"/>
      <c r="ET718" s="1371">
        <f t="shared" ref="ET718:ET752" si="29">IF(AND(B718="5 Bedrooms",AC718&lt;=0.3),G718,0)</f>
        <v>0</v>
      </c>
      <c r="EU718" s="1371"/>
      <c r="EV718" s="1371"/>
      <c r="EW718" s="1371"/>
      <c r="EX718" s="1371"/>
      <c r="EY718" s="4"/>
      <c r="EZ718" s="1354" t="str">
        <f t="shared" ref="EZ718:EZ752" si="30">IF(CP718&gt;0,O718,"")</f>
        <v/>
      </c>
      <c r="FA718" s="1355"/>
      <c r="FB718" s="1355"/>
      <c r="FC718" s="1355"/>
      <c r="FD718" s="1356"/>
      <c r="FE718" s="1354">
        <f t="shared" ref="FE718:FE752" si="31">IF(CU718&gt;0,O718,"")</f>
        <v>844</v>
      </c>
      <c r="FF718" s="1355"/>
      <c r="FG718" s="1355"/>
      <c r="FH718" s="1355"/>
      <c r="FI718" s="1356"/>
      <c r="FJ718" s="1354" t="str">
        <f t="shared" ref="FJ718:FJ752" si="32">IF(CZ718&gt;0,O718,"")</f>
        <v/>
      </c>
      <c r="FK718" s="1355"/>
      <c r="FL718" s="1355"/>
      <c r="FM718" s="1355"/>
      <c r="FN718" s="1356"/>
      <c r="FO718" s="1354" t="str">
        <f t="shared" ref="FO718:FO752" si="33">IF(DE718&gt;0,O718,"")</f>
        <v/>
      </c>
      <c r="FP718" s="1355"/>
      <c r="FQ718" s="1355"/>
      <c r="FR718" s="1355"/>
      <c r="FS718" s="1356"/>
      <c r="FT718" s="1354" t="str">
        <f t="shared" ref="FT718:FT752" si="34">IF(DJ718&gt;0,O718,"")</f>
        <v/>
      </c>
      <c r="FU718" s="1355"/>
      <c r="FV718" s="1355"/>
      <c r="FW718" s="1355"/>
      <c r="FX718" s="1356"/>
      <c r="FY718" s="1354" t="str">
        <f t="shared" ref="FY718:FY752" si="35">IF(DO718&gt;0,O718,"")</f>
        <v/>
      </c>
      <c r="FZ718" s="1355"/>
      <c r="GA718" s="1355"/>
      <c r="GB718" s="1355"/>
      <c r="GC718" s="1356"/>
    </row>
    <row r="719" spans="1:185" ht="13" customHeight="1">
      <c r="A719" s="4"/>
      <c r="B719" s="1358" t="s">
        <v>325</v>
      </c>
      <c r="C719" s="1359"/>
      <c r="D719" s="1359"/>
      <c r="E719" s="1359"/>
      <c r="F719" s="1360"/>
      <c r="G719" s="1367">
        <v>4</v>
      </c>
      <c r="H719" s="1368"/>
      <c r="I719" s="1368"/>
      <c r="J719" s="1369"/>
      <c r="K719" s="1608">
        <v>555</v>
      </c>
      <c r="L719" s="1609"/>
      <c r="M719" s="1609"/>
      <c r="N719" s="1610"/>
      <c r="O719" s="1471">
        <v>1464</v>
      </c>
      <c r="P719" s="1472"/>
      <c r="Q719" s="1472"/>
      <c r="R719" s="1472"/>
      <c r="S719" s="1473"/>
      <c r="T719" s="1471">
        <v>86</v>
      </c>
      <c r="U719" s="1472"/>
      <c r="V719" s="1472"/>
      <c r="W719" s="1473"/>
      <c r="X719" s="1361">
        <f t="shared" si="8"/>
        <v>1550</v>
      </c>
      <c r="Y719" s="1362"/>
      <c r="Z719" s="1362"/>
      <c r="AA719" s="1362"/>
      <c r="AB719" s="1363"/>
      <c r="AC719" s="1618">
        <v>0.5</v>
      </c>
      <c r="AD719" s="1619"/>
      <c r="AE719" s="1619"/>
      <c r="AF719" s="1619"/>
      <c r="AG719" s="1620"/>
      <c r="AH719" s="1364">
        <f t="shared" ref="AH719:AH752" si="36">IF($AC719&gt;0,($X719/$AZ719), "")</f>
        <v>0.5</v>
      </c>
      <c r="AI719" s="1365"/>
      <c r="AJ719" s="1366"/>
      <c r="AK719" s="1358" t="s">
        <v>592</v>
      </c>
      <c r="AL719" s="1359"/>
      <c r="AM719" s="1359"/>
      <c r="AN719" s="1359"/>
      <c r="AO719" s="1360"/>
      <c r="AP719" s="3"/>
      <c r="AQ719" s="3"/>
      <c r="AR719" s="3"/>
      <c r="AS719" s="3"/>
      <c r="AZ719" s="118">
        <f t="shared" si="9"/>
        <v>3100</v>
      </c>
      <c r="BA719" s="3"/>
      <c r="BB719" s="3"/>
      <c r="BC719" s="3"/>
      <c r="BD719" s="3"/>
      <c r="BE719" s="204"/>
      <c r="BF719" s="294">
        <f t="shared" si="10"/>
        <v>4</v>
      </c>
      <c r="BG719" s="297">
        <f t="shared" si="11"/>
        <v>4.49438202247191E-2</v>
      </c>
      <c r="BH719" s="298">
        <f t="shared" si="12"/>
        <v>2.247191011235955E-2</v>
      </c>
      <c r="BI719" s="3"/>
      <c r="BJ719" s="3"/>
      <c r="BK719" s="3"/>
      <c r="BL719" s="3"/>
      <c r="BM719" s="3"/>
      <c r="BN719" s="3"/>
      <c r="BS719" s="294">
        <f t="shared" si="13"/>
        <v>4</v>
      </c>
      <c r="BT719" s="297">
        <f t="shared" si="14"/>
        <v>4.49438202247191E-2</v>
      </c>
      <c r="BU719" s="298">
        <f t="shared" si="15"/>
        <v>2.247191011235955E-2</v>
      </c>
      <c r="CC719" s="3"/>
      <c r="CD719" s="3"/>
      <c r="CE719" s="3"/>
      <c r="CF719" s="3"/>
      <c r="CG719" s="1354">
        <f t="shared" ref="CG719:CG752" si="37">IF(AND(AC719&lt;=0.5,AC719&gt;=0.36),1,0)</f>
        <v>1</v>
      </c>
      <c r="CH719" s="1356"/>
      <c r="CI719" s="1338">
        <f t="shared" ref="CI719:CI752" si="38">IF(CG719=1,G719,0)</f>
        <v>4</v>
      </c>
      <c r="CJ719" s="1340"/>
      <c r="CK719" s="1354">
        <f t="shared" si="16"/>
        <v>0</v>
      </c>
      <c r="CL719" s="1356"/>
      <c r="CM719" s="1338">
        <f t="shared" si="17"/>
        <v>0</v>
      </c>
      <c r="CN719" s="1340"/>
      <c r="CO719" s="3"/>
      <c r="CP719" s="1335">
        <f t="shared" si="18"/>
        <v>0</v>
      </c>
      <c r="CQ719" s="1336"/>
      <c r="CR719" s="1336"/>
      <c r="CS719" s="1336"/>
      <c r="CT719" s="1337"/>
      <c r="CU719" s="1357">
        <f t="shared" si="19"/>
        <v>4</v>
      </c>
      <c r="CV719" s="1357"/>
      <c r="CW719" s="1357"/>
      <c r="CX719" s="1357"/>
      <c r="CY719" s="1357"/>
      <c r="CZ719" s="1357">
        <f t="shared" si="20"/>
        <v>0</v>
      </c>
      <c r="DA719" s="1357"/>
      <c r="DB719" s="1357"/>
      <c r="DC719" s="1357"/>
      <c r="DD719" s="1357"/>
      <c r="DE719" s="1357">
        <f t="shared" si="21"/>
        <v>0</v>
      </c>
      <c r="DF719" s="1357"/>
      <c r="DG719" s="1357"/>
      <c r="DH719" s="1357"/>
      <c r="DI719" s="1357"/>
      <c r="DJ719" s="1357">
        <f t="shared" si="22"/>
        <v>0</v>
      </c>
      <c r="DK719" s="1357"/>
      <c r="DL719" s="1357"/>
      <c r="DM719" s="1357"/>
      <c r="DN719" s="1357"/>
      <c r="DO719" s="1357">
        <f t="shared" si="23"/>
        <v>0</v>
      </c>
      <c r="DP719" s="1357"/>
      <c r="DQ719" s="1357"/>
      <c r="DR719" s="1357"/>
      <c r="DS719" s="1357"/>
      <c r="DT719" s="6"/>
      <c r="DU719" s="1371">
        <f t="shared" si="24"/>
        <v>0</v>
      </c>
      <c r="DV719" s="1371"/>
      <c r="DW719" s="1371"/>
      <c r="DX719" s="1371"/>
      <c r="DY719" s="1371"/>
      <c r="DZ719" s="1371">
        <f t="shared" si="25"/>
        <v>0</v>
      </c>
      <c r="EA719" s="1371"/>
      <c r="EB719" s="1371"/>
      <c r="EC719" s="1371"/>
      <c r="ED719" s="1371"/>
      <c r="EE719" s="1371">
        <f t="shared" si="26"/>
        <v>0</v>
      </c>
      <c r="EF719" s="1371"/>
      <c r="EG719" s="1371"/>
      <c r="EH719" s="1371"/>
      <c r="EI719" s="1371"/>
      <c r="EJ719" s="1371">
        <f t="shared" si="27"/>
        <v>0</v>
      </c>
      <c r="EK719" s="1371"/>
      <c r="EL719" s="1371"/>
      <c r="EM719" s="1371"/>
      <c r="EN719" s="1371"/>
      <c r="EO719" s="1371">
        <f t="shared" si="28"/>
        <v>0</v>
      </c>
      <c r="EP719" s="1371"/>
      <c r="EQ719" s="1371"/>
      <c r="ER719" s="1371"/>
      <c r="ES719" s="1371"/>
      <c r="ET719" s="1371">
        <f t="shared" si="29"/>
        <v>0</v>
      </c>
      <c r="EU719" s="1371"/>
      <c r="EV719" s="1371"/>
      <c r="EW719" s="1371"/>
      <c r="EX719" s="1371"/>
      <c r="EY719" s="4"/>
      <c r="EZ719" s="1354" t="str">
        <f t="shared" si="30"/>
        <v/>
      </c>
      <c r="FA719" s="1355"/>
      <c r="FB719" s="1355"/>
      <c r="FC719" s="1355"/>
      <c r="FD719" s="1356"/>
      <c r="FE719" s="1354">
        <f t="shared" si="31"/>
        <v>1464</v>
      </c>
      <c r="FF719" s="1355"/>
      <c r="FG719" s="1355"/>
      <c r="FH719" s="1355"/>
      <c r="FI719" s="1356"/>
      <c r="FJ719" s="1354" t="str">
        <f t="shared" si="32"/>
        <v/>
      </c>
      <c r="FK719" s="1355"/>
      <c r="FL719" s="1355"/>
      <c r="FM719" s="1355"/>
      <c r="FN719" s="1356"/>
      <c r="FO719" s="1354" t="str">
        <f t="shared" si="33"/>
        <v/>
      </c>
      <c r="FP719" s="1355"/>
      <c r="FQ719" s="1355"/>
      <c r="FR719" s="1355"/>
      <c r="FS719" s="1356"/>
      <c r="FT719" s="1354" t="str">
        <f t="shared" si="34"/>
        <v/>
      </c>
      <c r="FU719" s="1355"/>
      <c r="FV719" s="1355"/>
      <c r="FW719" s="1355"/>
      <c r="FX719" s="1356"/>
      <c r="FY719" s="1354" t="str">
        <f t="shared" si="35"/>
        <v/>
      </c>
      <c r="FZ719" s="1355"/>
      <c r="GA719" s="1355"/>
      <c r="GB719" s="1355"/>
      <c r="GC719" s="1356"/>
    </row>
    <row r="720" spans="1:185" ht="13" customHeight="1">
      <c r="A720" s="4"/>
      <c r="B720" s="1358" t="s">
        <v>325</v>
      </c>
      <c r="C720" s="1359"/>
      <c r="D720" s="1359"/>
      <c r="E720" s="1359"/>
      <c r="F720" s="1360"/>
      <c r="G720" s="1367">
        <v>34</v>
      </c>
      <c r="H720" s="1368"/>
      <c r="I720" s="1368"/>
      <c r="J720" s="1369"/>
      <c r="K720" s="1608">
        <v>555</v>
      </c>
      <c r="L720" s="1609"/>
      <c r="M720" s="1609"/>
      <c r="N720" s="1610"/>
      <c r="O720" s="1471">
        <v>1774</v>
      </c>
      <c r="P720" s="1472"/>
      <c r="Q720" s="1472"/>
      <c r="R720" s="1472"/>
      <c r="S720" s="1473"/>
      <c r="T720" s="1471">
        <v>86</v>
      </c>
      <c r="U720" s="1472"/>
      <c r="V720" s="1472"/>
      <c r="W720" s="1473"/>
      <c r="X720" s="1361">
        <f t="shared" si="8"/>
        <v>1860</v>
      </c>
      <c r="Y720" s="1362"/>
      <c r="Z720" s="1362"/>
      <c r="AA720" s="1362"/>
      <c r="AB720" s="1363"/>
      <c r="AC720" s="1618">
        <v>0.6</v>
      </c>
      <c r="AD720" s="1619"/>
      <c r="AE720" s="1619"/>
      <c r="AF720" s="1619"/>
      <c r="AG720" s="1620"/>
      <c r="AH720" s="1364">
        <f t="shared" si="36"/>
        <v>0.6</v>
      </c>
      <c r="AI720" s="1365"/>
      <c r="AJ720" s="1366"/>
      <c r="AK720" s="1358" t="s">
        <v>592</v>
      </c>
      <c r="AL720" s="1359"/>
      <c r="AM720" s="1359"/>
      <c r="AN720" s="1359"/>
      <c r="AO720" s="1360"/>
      <c r="AP720" s="3"/>
      <c r="AQ720" s="3"/>
      <c r="AR720" s="3"/>
      <c r="AS720" s="3"/>
      <c r="AZ720" s="118">
        <f t="shared" si="9"/>
        <v>3100</v>
      </c>
      <c r="BA720" s="3"/>
      <c r="BB720" s="3"/>
      <c r="BC720" s="3"/>
      <c r="BD720" s="3"/>
      <c r="BE720" s="204"/>
      <c r="BF720" s="294">
        <f t="shared" si="10"/>
        <v>34</v>
      </c>
      <c r="BG720" s="297">
        <f t="shared" si="11"/>
        <v>0.38202247191011235</v>
      </c>
      <c r="BH720" s="298">
        <f t="shared" si="12"/>
        <v>0.2292134831460674</v>
      </c>
      <c r="BI720" s="3"/>
      <c r="BJ720" s="3"/>
      <c r="BK720" s="3"/>
      <c r="BL720" s="3"/>
      <c r="BM720" s="3"/>
      <c r="BN720" s="3"/>
      <c r="BS720" s="294">
        <f t="shared" si="13"/>
        <v>34</v>
      </c>
      <c r="BT720" s="297">
        <f t="shared" si="14"/>
        <v>0.38202247191011235</v>
      </c>
      <c r="BU720" s="298">
        <f t="shared" si="15"/>
        <v>0.2292134831460674</v>
      </c>
      <c r="CC720" s="3"/>
      <c r="CD720" s="3"/>
      <c r="CE720" s="3"/>
      <c r="CF720" s="3"/>
      <c r="CG720" s="1354">
        <f t="shared" si="37"/>
        <v>0</v>
      </c>
      <c r="CH720" s="1356"/>
      <c r="CI720" s="1338">
        <f t="shared" si="38"/>
        <v>0</v>
      </c>
      <c r="CJ720" s="1340"/>
      <c r="CK720" s="1354">
        <f t="shared" si="16"/>
        <v>0</v>
      </c>
      <c r="CL720" s="1356"/>
      <c r="CM720" s="1338">
        <f t="shared" si="17"/>
        <v>0</v>
      </c>
      <c r="CN720" s="1340"/>
      <c r="CO720" s="3"/>
      <c r="CP720" s="1335">
        <f t="shared" si="18"/>
        <v>0</v>
      </c>
      <c r="CQ720" s="1336"/>
      <c r="CR720" s="1336"/>
      <c r="CS720" s="1336"/>
      <c r="CT720" s="1337"/>
      <c r="CU720" s="1357">
        <f t="shared" si="19"/>
        <v>34</v>
      </c>
      <c r="CV720" s="1357"/>
      <c r="CW720" s="1357"/>
      <c r="CX720" s="1357"/>
      <c r="CY720" s="1357"/>
      <c r="CZ720" s="1357">
        <f t="shared" si="20"/>
        <v>0</v>
      </c>
      <c r="DA720" s="1357"/>
      <c r="DB720" s="1357"/>
      <c r="DC720" s="1357"/>
      <c r="DD720" s="1357"/>
      <c r="DE720" s="1357">
        <f t="shared" si="21"/>
        <v>0</v>
      </c>
      <c r="DF720" s="1357"/>
      <c r="DG720" s="1357"/>
      <c r="DH720" s="1357"/>
      <c r="DI720" s="1357"/>
      <c r="DJ720" s="1357">
        <f t="shared" si="22"/>
        <v>0</v>
      </c>
      <c r="DK720" s="1357"/>
      <c r="DL720" s="1357"/>
      <c r="DM720" s="1357"/>
      <c r="DN720" s="1357"/>
      <c r="DO720" s="1357">
        <f t="shared" si="23"/>
        <v>0</v>
      </c>
      <c r="DP720" s="1357"/>
      <c r="DQ720" s="1357"/>
      <c r="DR720" s="1357"/>
      <c r="DS720" s="1357"/>
      <c r="DT720" s="6"/>
      <c r="DU720" s="1371">
        <f t="shared" si="24"/>
        <v>0</v>
      </c>
      <c r="DV720" s="1371"/>
      <c r="DW720" s="1371"/>
      <c r="DX720" s="1371"/>
      <c r="DY720" s="1371"/>
      <c r="DZ720" s="1371">
        <f t="shared" si="25"/>
        <v>0</v>
      </c>
      <c r="EA720" s="1371"/>
      <c r="EB720" s="1371"/>
      <c r="EC720" s="1371"/>
      <c r="ED720" s="1371"/>
      <c r="EE720" s="1371">
        <f t="shared" si="26"/>
        <v>0</v>
      </c>
      <c r="EF720" s="1371"/>
      <c r="EG720" s="1371"/>
      <c r="EH720" s="1371"/>
      <c r="EI720" s="1371"/>
      <c r="EJ720" s="1371">
        <f t="shared" si="27"/>
        <v>0</v>
      </c>
      <c r="EK720" s="1371"/>
      <c r="EL720" s="1371"/>
      <c r="EM720" s="1371"/>
      <c r="EN720" s="1371"/>
      <c r="EO720" s="1371">
        <f t="shared" si="28"/>
        <v>0</v>
      </c>
      <c r="EP720" s="1371"/>
      <c r="EQ720" s="1371"/>
      <c r="ER720" s="1371"/>
      <c r="ES720" s="1371"/>
      <c r="ET720" s="1371">
        <f t="shared" si="29"/>
        <v>0</v>
      </c>
      <c r="EU720" s="1371"/>
      <c r="EV720" s="1371"/>
      <c r="EW720" s="1371"/>
      <c r="EX720" s="1371"/>
      <c r="EZ720" s="1354" t="str">
        <f t="shared" si="30"/>
        <v/>
      </c>
      <c r="FA720" s="1355"/>
      <c r="FB720" s="1355"/>
      <c r="FC720" s="1355"/>
      <c r="FD720" s="1356"/>
      <c r="FE720" s="1354">
        <f t="shared" si="31"/>
        <v>1774</v>
      </c>
      <c r="FF720" s="1355"/>
      <c r="FG720" s="1355"/>
      <c r="FH720" s="1355"/>
      <c r="FI720" s="1356"/>
      <c r="FJ720" s="1354" t="str">
        <f t="shared" si="32"/>
        <v/>
      </c>
      <c r="FK720" s="1355"/>
      <c r="FL720" s="1355"/>
      <c r="FM720" s="1355"/>
      <c r="FN720" s="1356"/>
      <c r="FO720" s="1354" t="str">
        <f t="shared" si="33"/>
        <v/>
      </c>
      <c r="FP720" s="1355"/>
      <c r="FQ720" s="1355"/>
      <c r="FR720" s="1355"/>
      <c r="FS720" s="1356"/>
      <c r="FT720" s="1354" t="str">
        <f t="shared" si="34"/>
        <v/>
      </c>
      <c r="FU720" s="1355"/>
      <c r="FV720" s="1355"/>
      <c r="FW720" s="1355"/>
      <c r="FX720" s="1356"/>
      <c r="FY720" s="1354" t="str">
        <f t="shared" si="35"/>
        <v/>
      </c>
      <c r="FZ720" s="1355"/>
      <c r="GA720" s="1355"/>
      <c r="GB720" s="1355"/>
      <c r="GC720" s="1356"/>
    </row>
    <row r="721" spans="1:185" ht="13" customHeight="1">
      <c r="B721" s="1358" t="s">
        <v>163</v>
      </c>
      <c r="C721" s="1359"/>
      <c r="D721" s="1359"/>
      <c r="E721" s="1359"/>
      <c r="F721" s="1360"/>
      <c r="G721" s="1367">
        <v>3</v>
      </c>
      <c r="H721" s="1368"/>
      <c r="I721" s="1368"/>
      <c r="J721" s="1369"/>
      <c r="K721" s="1608">
        <v>726</v>
      </c>
      <c r="L721" s="1609"/>
      <c r="M721" s="1609"/>
      <c r="N721" s="1610"/>
      <c r="O721" s="1471">
        <v>1002</v>
      </c>
      <c r="P721" s="1472"/>
      <c r="Q721" s="1472"/>
      <c r="R721" s="1472"/>
      <c r="S721" s="1473"/>
      <c r="T721" s="1471">
        <v>114</v>
      </c>
      <c r="U721" s="1472"/>
      <c r="V721" s="1472"/>
      <c r="W721" s="1473"/>
      <c r="X721" s="1361">
        <f t="shared" si="8"/>
        <v>1116</v>
      </c>
      <c r="Y721" s="1362"/>
      <c r="Z721" s="1362"/>
      <c r="AA721" s="1362"/>
      <c r="AB721" s="1363"/>
      <c r="AC721" s="1618">
        <v>0.3</v>
      </c>
      <c r="AD721" s="1619"/>
      <c r="AE721" s="1619"/>
      <c r="AF721" s="1619"/>
      <c r="AG721" s="1620"/>
      <c r="AH721" s="1364">
        <f t="shared" si="36"/>
        <v>0.29983879634605048</v>
      </c>
      <c r="AI721" s="1365"/>
      <c r="AJ721" s="1366"/>
      <c r="AK721" s="1358" t="s">
        <v>592</v>
      </c>
      <c r="AL721" s="1359"/>
      <c r="AM721" s="1359"/>
      <c r="AN721" s="1359"/>
      <c r="AO721" s="1360"/>
      <c r="AP721" s="3"/>
      <c r="AQ721" s="3"/>
      <c r="AR721" s="3"/>
      <c r="AS721" s="3"/>
      <c r="AY721" s="116"/>
      <c r="AZ721" s="118">
        <f t="shared" si="9"/>
        <v>3722</v>
      </c>
      <c r="BA721" s="3"/>
      <c r="BB721" s="3"/>
      <c r="BC721" s="3"/>
      <c r="BD721" s="3"/>
      <c r="BE721" s="204"/>
      <c r="BF721" s="294">
        <f t="shared" si="10"/>
        <v>3</v>
      </c>
      <c r="BG721" s="297">
        <f t="shared" si="11"/>
        <v>3.3707865168539325E-2</v>
      </c>
      <c r="BH721" s="298">
        <f t="shared" si="12"/>
        <v>1.0112359550561797E-2</v>
      </c>
      <c r="BI721" s="3"/>
      <c r="BJ721" s="3"/>
      <c r="BK721" s="3"/>
      <c r="BL721" s="3"/>
      <c r="BM721" s="3"/>
      <c r="BN721" s="3"/>
      <c r="BS721" s="294">
        <f t="shared" si="13"/>
        <v>3</v>
      </c>
      <c r="BT721" s="297">
        <f t="shared" si="14"/>
        <v>3.3707865168539325E-2</v>
      </c>
      <c r="BU721" s="298">
        <f t="shared" si="15"/>
        <v>1.0106925719529791E-2</v>
      </c>
      <c r="CC721" s="3"/>
      <c r="CD721" s="3"/>
      <c r="CE721" s="3"/>
      <c r="CF721" s="3"/>
      <c r="CG721" s="1354">
        <f t="shared" si="37"/>
        <v>0</v>
      </c>
      <c r="CH721" s="1356"/>
      <c r="CI721" s="1338">
        <f t="shared" si="38"/>
        <v>0</v>
      </c>
      <c r="CJ721" s="1340"/>
      <c r="CK721" s="1354">
        <f t="shared" si="16"/>
        <v>1</v>
      </c>
      <c r="CL721" s="1356"/>
      <c r="CM721" s="1338">
        <f t="shared" si="17"/>
        <v>3</v>
      </c>
      <c r="CN721" s="1340"/>
      <c r="CO721" s="3"/>
      <c r="CP721" s="1335">
        <f t="shared" si="18"/>
        <v>0</v>
      </c>
      <c r="CQ721" s="1336"/>
      <c r="CR721" s="1336"/>
      <c r="CS721" s="1336"/>
      <c r="CT721" s="1337"/>
      <c r="CU721" s="1357">
        <f t="shared" si="19"/>
        <v>0</v>
      </c>
      <c r="CV721" s="1357"/>
      <c r="CW721" s="1357"/>
      <c r="CX721" s="1357"/>
      <c r="CY721" s="1357"/>
      <c r="CZ721" s="1357">
        <f t="shared" si="20"/>
        <v>3</v>
      </c>
      <c r="DA721" s="1357"/>
      <c r="DB721" s="1357"/>
      <c r="DC721" s="1357"/>
      <c r="DD721" s="1357"/>
      <c r="DE721" s="1357">
        <f t="shared" si="21"/>
        <v>0</v>
      </c>
      <c r="DF721" s="1357"/>
      <c r="DG721" s="1357"/>
      <c r="DH721" s="1357"/>
      <c r="DI721" s="1357"/>
      <c r="DJ721" s="1357">
        <f t="shared" si="22"/>
        <v>0</v>
      </c>
      <c r="DK721" s="1357"/>
      <c r="DL721" s="1357"/>
      <c r="DM721" s="1357"/>
      <c r="DN721" s="1357"/>
      <c r="DO721" s="1357">
        <f t="shared" si="23"/>
        <v>0</v>
      </c>
      <c r="DP721" s="1357"/>
      <c r="DQ721" s="1357"/>
      <c r="DR721" s="1357"/>
      <c r="DS721" s="1357"/>
      <c r="DT721" s="6"/>
      <c r="DU721" s="1371">
        <f t="shared" si="24"/>
        <v>0</v>
      </c>
      <c r="DV721" s="1371"/>
      <c r="DW721" s="1371"/>
      <c r="DX721" s="1371"/>
      <c r="DY721" s="1371"/>
      <c r="DZ721" s="1371">
        <f t="shared" si="25"/>
        <v>0</v>
      </c>
      <c r="EA721" s="1371"/>
      <c r="EB721" s="1371"/>
      <c r="EC721" s="1371"/>
      <c r="ED721" s="1371"/>
      <c r="EE721" s="1371">
        <f t="shared" si="26"/>
        <v>3</v>
      </c>
      <c r="EF721" s="1371"/>
      <c r="EG721" s="1371"/>
      <c r="EH721" s="1371"/>
      <c r="EI721" s="1371"/>
      <c r="EJ721" s="1371">
        <f t="shared" si="27"/>
        <v>0</v>
      </c>
      <c r="EK721" s="1371"/>
      <c r="EL721" s="1371"/>
      <c r="EM721" s="1371"/>
      <c r="EN721" s="1371"/>
      <c r="EO721" s="1371">
        <f t="shared" si="28"/>
        <v>0</v>
      </c>
      <c r="EP721" s="1371"/>
      <c r="EQ721" s="1371"/>
      <c r="ER721" s="1371"/>
      <c r="ES721" s="1371"/>
      <c r="ET721" s="1371">
        <f t="shared" si="29"/>
        <v>0</v>
      </c>
      <c r="EU721" s="1371"/>
      <c r="EV721" s="1371"/>
      <c r="EW721" s="1371"/>
      <c r="EX721" s="1371"/>
      <c r="EZ721" s="1354" t="str">
        <f t="shared" si="30"/>
        <v/>
      </c>
      <c r="FA721" s="1355"/>
      <c r="FB721" s="1355"/>
      <c r="FC721" s="1355"/>
      <c r="FD721" s="1356"/>
      <c r="FE721" s="1354" t="str">
        <f t="shared" si="31"/>
        <v/>
      </c>
      <c r="FF721" s="1355"/>
      <c r="FG721" s="1355"/>
      <c r="FH721" s="1355"/>
      <c r="FI721" s="1356"/>
      <c r="FJ721" s="1354">
        <f t="shared" si="32"/>
        <v>1002</v>
      </c>
      <c r="FK721" s="1355"/>
      <c r="FL721" s="1355"/>
      <c r="FM721" s="1355"/>
      <c r="FN721" s="1356"/>
      <c r="FO721" s="1354" t="str">
        <f t="shared" si="33"/>
        <v/>
      </c>
      <c r="FP721" s="1355"/>
      <c r="FQ721" s="1355"/>
      <c r="FR721" s="1355"/>
      <c r="FS721" s="1356"/>
      <c r="FT721" s="1354" t="str">
        <f t="shared" si="34"/>
        <v/>
      </c>
      <c r="FU721" s="1355"/>
      <c r="FV721" s="1355"/>
      <c r="FW721" s="1355"/>
      <c r="FX721" s="1356"/>
      <c r="FY721" s="1354" t="str">
        <f t="shared" si="35"/>
        <v/>
      </c>
      <c r="FZ721" s="1355"/>
      <c r="GA721" s="1355"/>
      <c r="GB721" s="1355"/>
      <c r="GC721" s="1356"/>
    </row>
    <row r="722" spans="1:185" ht="13" customHeight="1">
      <c r="B722" s="1358" t="s">
        <v>163</v>
      </c>
      <c r="C722" s="1359"/>
      <c r="D722" s="1359"/>
      <c r="E722" s="1359"/>
      <c r="F722" s="1360"/>
      <c r="G722" s="1367">
        <v>3</v>
      </c>
      <c r="H722" s="1368"/>
      <c r="I722" s="1368"/>
      <c r="J722" s="1369"/>
      <c r="K722" s="1608">
        <v>726</v>
      </c>
      <c r="L722" s="1609"/>
      <c r="M722" s="1609"/>
      <c r="N722" s="1610"/>
      <c r="O722" s="1471">
        <v>1747</v>
      </c>
      <c r="P722" s="1472"/>
      <c r="Q722" s="1472"/>
      <c r="R722" s="1472"/>
      <c r="S722" s="1473"/>
      <c r="T722" s="1471">
        <v>114</v>
      </c>
      <c r="U722" s="1472"/>
      <c r="V722" s="1472"/>
      <c r="W722" s="1473"/>
      <c r="X722" s="1361">
        <f t="shared" si="8"/>
        <v>1861</v>
      </c>
      <c r="Y722" s="1362"/>
      <c r="Z722" s="1362"/>
      <c r="AA722" s="1362"/>
      <c r="AB722" s="1363"/>
      <c r="AC722" s="1618">
        <v>0.5</v>
      </c>
      <c r="AD722" s="1619"/>
      <c r="AE722" s="1619"/>
      <c r="AF722" s="1619"/>
      <c r="AG722" s="1620"/>
      <c r="AH722" s="1364">
        <f t="shared" si="36"/>
        <v>0.5</v>
      </c>
      <c r="AI722" s="1365"/>
      <c r="AJ722" s="1366"/>
      <c r="AK722" s="1358" t="s">
        <v>592</v>
      </c>
      <c r="AL722" s="1359"/>
      <c r="AM722" s="1359"/>
      <c r="AN722" s="1359"/>
      <c r="AO722" s="1360"/>
      <c r="AP722" s="3"/>
      <c r="AQ722" s="3"/>
      <c r="AR722" s="3"/>
      <c r="AS722" s="3"/>
      <c r="AY722" s="116"/>
      <c r="AZ722" s="118">
        <f t="shared" si="9"/>
        <v>3722</v>
      </c>
      <c r="BA722" s="3"/>
      <c r="BB722" s="3"/>
      <c r="BC722" s="3"/>
      <c r="BD722" s="3"/>
      <c r="BE722" s="204"/>
      <c r="BF722" s="294">
        <f t="shared" si="10"/>
        <v>3</v>
      </c>
      <c r="BG722" s="297">
        <f t="shared" si="11"/>
        <v>3.3707865168539325E-2</v>
      </c>
      <c r="BH722" s="298">
        <f t="shared" si="12"/>
        <v>1.6853932584269662E-2</v>
      </c>
      <c r="BI722" s="3"/>
      <c r="BJ722" s="3"/>
      <c r="BK722" s="3"/>
      <c r="BL722" s="3"/>
      <c r="BM722" s="3"/>
      <c r="BN722" s="3"/>
      <c r="BS722" s="294">
        <f t="shared" si="13"/>
        <v>3</v>
      </c>
      <c r="BT722" s="297">
        <f t="shared" si="14"/>
        <v>3.3707865168539325E-2</v>
      </c>
      <c r="BU722" s="298">
        <f t="shared" si="15"/>
        <v>1.6853932584269662E-2</v>
      </c>
      <c r="CC722" s="3"/>
      <c r="CD722" s="3"/>
      <c r="CE722" s="3"/>
      <c r="CF722" s="3"/>
      <c r="CG722" s="1354">
        <f t="shared" si="37"/>
        <v>1</v>
      </c>
      <c r="CH722" s="1356"/>
      <c r="CI722" s="1338">
        <f t="shared" si="38"/>
        <v>3</v>
      </c>
      <c r="CJ722" s="1340"/>
      <c r="CK722" s="1354">
        <f t="shared" si="16"/>
        <v>0</v>
      </c>
      <c r="CL722" s="1356"/>
      <c r="CM722" s="1338">
        <f t="shared" si="17"/>
        <v>0</v>
      </c>
      <c r="CN722" s="1340"/>
      <c r="CO722" s="3"/>
      <c r="CP722" s="1335">
        <f t="shared" si="18"/>
        <v>0</v>
      </c>
      <c r="CQ722" s="1336"/>
      <c r="CR722" s="1336"/>
      <c r="CS722" s="1336"/>
      <c r="CT722" s="1337"/>
      <c r="CU722" s="1357">
        <f t="shared" si="19"/>
        <v>0</v>
      </c>
      <c r="CV722" s="1357"/>
      <c r="CW722" s="1357"/>
      <c r="CX722" s="1357"/>
      <c r="CY722" s="1357"/>
      <c r="CZ722" s="1357">
        <f t="shared" si="20"/>
        <v>3</v>
      </c>
      <c r="DA722" s="1357"/>
      <c r="DB722" s="1357"/>
      <c r="DC722" s="1357"/>
      <c r="DD722" s="1357"/>
      <c r="DE722" s="1357">
        <f t="shared" si="21"/>
        <v>0</v>
      </c>
      <c r="DF722" s="1357"/>
      <c r="DG722" s="1357"/>
      <c r="DH722" s="1357"/>
      <c r="DI722" s="1357"/>
      <c r="DJ722" s="1357">
        <f t="shared" si="22"/>
        <v>0</v>
      </c>
      <c r="DK722" s="1357"/>
      <c r="DL722" s="1357"/>
      <c r="DM722" s="1357"/>
      <c r="DN722" s="1357"/>
      <c r="DO722" s="1357">
        <f t="shared" si="23"/>
        <v>0</v>
      </c>
      <c r="DP722" s="1357"/>
      <c r="DQ722" s="1357"/>
      <c r="DR722" s="1357"/>
      <c r="DS722" s="1357"/>
      <c r="DT722" s="6"/>
      <c r="DU722" s="1371">
        <f t="shared" si="24"/>
        <v>0</v>
      </c>
      <c r="DV722" s="1371"/>
      <c r="DW722" s="1371"/>
      <c r="DX722" s="1371"/>
      <c r="DY722" s="1371"/>
      <c r="DZ722" s="1371">
        <f t="shared" si="25"/>
        <v>0</v>
      </c>
      <c r="EA722" s="1371"/>
      <c r="EB722" s="1371"/>
      <c r="EC722" s="1371"/>
      <c r="ED722" s="1371"/>
      <c r="EE722" s="1371">
        <f t="shared" si="26"/>
        <v>0</v>
      </c>
      <c r="EF722" s="1371"/>
      <c r="EG722" s="1371"/>
      <c r="EH722" s="1371"/>
      <c r="EI722" s="1371"/>
      <c r="EJ722" s="1371">
        <f t="shared" si="27"/>
        <v>0</v>
      </c>
      <c r="EK722" s="1371"/>
      <c r="EL722" s="1371"/>
      <c r="EM722" s="1371"/>
      <c r="EN722" s="1371"/>
      <c r="EO722" s="1371">
        <f t="shared" si="28"/>
        <v>0</v>
      </c>
      <c r="EP722" s="1371"/>
      <c r="EQ722" s="1371"/>
      <c r="ER722" s="1371"/>
      <c r="ES722" s="1371"/>
      <c r="ET722" s="1371">
        <f t="shared" si="29"/>
        <v>0</v>
      </c>
      <c r="EU722" s="1371"/>
      <c r="EV722" s="1371"/>
      <c r="EW722" s="1371"/>
      <c r="EX722" s="1371"/>
      <c r="EZ722" s="1354" t="str">
        <f t="shared" si="30"/>
        <v/>
      </c>
      <c r="FA722" s="1355"/>
      <c r="FB722" s="1355"/>
      <c r="FC722" s="1355"/>
      <c r="FD722" s="1356"/>
      <c r="FE722" s="1354" t="str">
        <f t="shared" si="31"/>
        <v/>
      </c>
      <c r="FF722" s="1355"/>
      <c r="FG722" s="1355"/>
      <c r="FH722" s="1355"/>
      <c r="FI722" s="1356"/>
      <c r="FJ722" s="1354">
        <f t="shared" si="32"/>
        <v>1747</v>
      </c>
      <c r="FK722" s="1355"/>
      <c r="FL722" s="1355"/>
      <c r="FM722" s="1355"/>
      <c r="FN722" s="1356"/>
      <c r="FO722" s="1354" t="str">
        <f t="shared" si="33"/>
        <v/>
      </c>
      <c r="FP722" s="1355"/>
      <c r="FQ722" s="1355"/>
      <c r="FR722" s="1355"/>
      <c r="FS722" s="1356"/>
      <c r="FT722" s="1354" t="str">
        <f t="shared" si="34"/>
        <v/>
      </c>
      <c r="FU722" s="1355"/>
      <c r="FV722" s="1355"/>
      <c r="FW722" s="1355"/>
      <c r="FX722" s="1356"/>
      <c r="FY722" s="1354" t="str">
        <f t="shared" si="35"/>
        <v/>
      </c>
      <c r="FZ722" s="1355"/>
      <c r="GA722" s="1355"/>
      <c r="GB722" s="1355"/>
      <c r="GC722" s="1356"/>
    </row>
    <row r="723" spans="1:185" ht="13" customHeight="1">
      <c r="B723" s="1358" t="s">
        <v>163</v>
      </c>
      <c r="C723" s="1359"/>
      <c r="D723" s="1359"/>
      <c r="E723" s="1359"/>
      <c r="F723" s="1360"/>
      <c r="G723" s="1367">
        <v>17</v>
      </c>
      <c r="H723" s="1368"/>
      <c r="I723" s="1368"/>
      <c r="J723" s="1369"/>
      <c r="K723" s="1608">
        <v>726</v>
      </c>
      <c r="L723" s="1609"/>
      <c r="M723" s="1609"/>
      <c r="N723" s="1610"/>
      <c r="O723" s="1471">
        <v>2119</v>
      </c>
      <c r="P723" s="1472"/>
      <c r="Q723" s="1472"/>
      <c r="R723" s="1472"/>
      <c r="S723" s="1473"/>
      <c r="T723" s="1471">
        <v>114</v>
      </c>
      <c r="U723" s="1472"/>
      <c r="V723" s="1472"/>
      <c r="W723" s="1473"/>
      <c r="X723" s="1361">
        <f t="shared" si="8"/>
        <v>2233</v>
      </c>
      <c r="Y723" s="1362"/>
      <c r="Z723" s="1362"/>
      <c r="AA723" s="1362"/>
      <c r="AB723" s="1363"/>
      <c r="AC723" s="1618">
        <v>0.6</v>
      </c>
      <c r="AD723" s="1619"/>
      <c r="AE723" s="1619"/>
      <c r="AF723" s="1619"/>
      <c r="AG723" s="1620"/>
      <c r="AH723" s="1364">
        <f t="shared" si="36"/>
        <v>0.59994626544868346</v>
      </c>
      <c r="AI723" s="1365"/>
      <c r="AJ723" s="1366"/>
      <c r="AK723" s="1358" t="s">
        <v>592</v>
      </c>
      <c r="AL723" s="1359"/>
      <c r="AM723" s="1359"/>
      <c r="AN723" s="1359"/>
      <c r="AO723" s="1360"/>
      <c r="AP723" s="3"/>
      <c r="AQ723" s="3"/>
      <c r="AR723" s="3"/>
      <c r="AS723" s="3"/>
      <c r="AY723" s="116"/>
      <c r="AZ723" s="118">
        <f t="shared" si="9"/>
        <v>3722</v>
      </c>
      <c r="BA723" s="3"/>
      <c r="BB723" s="3"/>
      <c r="BC723" s="3"/>
      <c r="BD723" s="3"/>
      <c r="BE723" s="204"/>
      <c r="BF723" s="294">
        <f t="shared" si="10"/>
        <v>17</v>
      </c>
      <c r="BG723" s="297">
        <f t="shared" si="11"/>
        <v>0.19101123595505617</v>
      </c>
      <c r="BH723" s="298">
        <f t="shared" si="12"/>
        <v>0.1146067415730337</v>
      </c>
      <c r="BI723" s="3"/>
      <c r="BJ723" s="3"/>
      <c r="BK723" s="3"/>
      <c r="BL723" s="3"/>
      <c r="BM723" s="3"/>
      <c r="BN723" s="3"/>
      <c r="BS723" s="294">
        <f t="shared" si="13"/>
        <v>17</v>
      </c>
      <c r="BT723" s="297">
        <f t="shared" si="14"/>
        <v>0.19101123595505617</v>
      </c>
      <c r="BU723" s="298">
        <f t="shared" si="15"/>
        <v>0.11459647766997325</v>
      </c>
      <c r="CC723" s="3"/>
      <c r="CD723" s="3"/>
      <c r="CE723" s="3"/>
      <c r="CF723" s="3"/>
      <c r="CG723" s="1354">
        <f t="shared" si="37"/>
        <v>0</v>
      </c>
      <c r="CH723" s="1356"/>
      <c r="CI723" s="1338">
        <f t="shared" si="38"/>
        <v>0</v>
      </c>
      <c r="CJ723" s="1340"/>
      <c r="CK723" s="1354">
        <f t="shared" si="16"/>
        <v>0</v>
      </c>
      <c r="CL723" s="1356"/>
      <c r="CM723" s="1338">
        <f t="shared" si="17"/>
        <v>0</v>
      </c>
      <c r="CN723" s="1340"/>
      <c r="CO723" s="3"/>
      <c r="CP723" s="1335">
        <f t="shared" si="18"/>
        <v>0</v>
      </c>
      <c r="CQ723" s="1336"/>
      <c r="CR723" s="1336"/>
      <c r="CS723" s="1336"/>
      <c r="CT723" s="1337"/>
      <c r="CU723" s="1357">
        <f t="shared" si="19"/>
        <v>0</v>
      </c>
      <c r="CV723" s="1357"/>
      <c r="CW723" s="1357"/>
      <c r="CX723" s="1357"/>
      <c r="CY723" s="1357"/>
      <c r="CZ723" s="1357">
        <f t="shared" si="20"/>
        <v>17</v>
      </c>
      <c r="DA723" s="1357"/>
      <c r="DB723" s="1357"/>
      <c r="DC723" s="1357"/>
      <c r="DD723" s="1357"/>
      <c r="DE723" s="1357">
        <f t="shared" si="21"/>
        <v>0</v>
      </c>
      <c r="DF723" s="1357"/>
      <c r="DG723" s="1357"/>
      <c r="DH723" s="1357"/>
      <c r="DI723" s="1357"/>
      <c r="DJ723" s="1357">
        <f t="shared" si="22"/>
        <v>0</v>
      </c>
      <c r="DK723" s="1357"/>
      <c r="DL723" s="1357"/>
      <c r="DM723" s="1357"/>
      <c r="DN723" s="1357"/>
      <c r="DO723" s="1357">
        <f t="shared" si="23"/>
        <v>0</v>
      </c>
      <c r="DP723" s="1357"/>
      <c r="DQ723" s="1357"/>
      <c r="DR723" s="1357"/>
      <c r="DS723" s="1357"/>
      <c r="DT723" s="6"/>
      <c r="DU723" s="1371">
        <f t="shared" si="24"/>
        <v>0</v>
      </c>
      <c r="DV723" s="1371"/>
      <c r="DW723" s="1371"/>
      <c r="DX723" s="1371"/>
      <c r="DY723" s="1371"/>
      <c r="DZ723" s="1371">
        <f t="shared" si="25"/>
        <v>0</v>
      </c>
      <c r="EA723" s="1371"/>
      <c r="EB723" s="1371"/>
      <c r="EC723" s="1371"/>
      <c r="ED723" s="1371"/>
      <c r="EE723" s="1371">
        <f t="shared" si="26"/>
        <v>0</v>
      </c>
      <c r="EF723" s="1371"/>
      <c r="EG723" s="1371"/>
      <c r="EH723" s="1371"/>
      <c r="EI723" s="1371"/>
      <c r="EJ723" s="1371">
        <f t="shared" si="27"/>
        <v>0</v>
      </c>
      <c r="EK723" s="1371"/>
      <c r="EL723" s="1371"/>
      <c r="EM723" s="1371"/>
      <c r="EN723" s="1371"/>
      <c r="EO723" s="1371">
        <f t="shared" si="28"/>
        <v>0</v>
      </c>
      <c r="EP723" s="1371"/>
      <c r="EQ723" s="1371"/>
      <c r="ER723" s="1371"/>
      <c r="ES723" s="1371"/>
      <c r="ET723" s="1371">
        <f t="shared" si="29"/>
        <v>0</v>
      </c>
      <c r="EU723" s="1371"/>
      <c r="EV723" s="1371"/>
      <c r="EW723" s="1371"/>
      <c r="EX723" s="1371"/>
      <c r="EZ723" s="1354" t="str">
        <f t="shared" si="30"/>
        <v/>
      </c>
      <c r="FA723" s="1355"/>
      <c r="FB723" s="1355"/>
      <c r="FC723" s="1355"/>
      <c r="FD723" s="1356"/>
      <c r="FE723" s="1354" t="str">
        <f t="shared" si="31"/>
        <v/>
      </c>
      <c r="FF723" s="1355"/>
      <c r="FG723" s="1355"/>
      <c r="FH723" s="1355"/>
      <c r="FI723" s="1356"/>
      <c r="FJ723" s="1354">
        <f t="shared" si="32"/>
        <v>2119</v>
      </c>
      <c r="FK723" s="1355"/>
      <c r="FL723" s="1355"/>
      <c r="FM723" s="1355"/>
      <c r="FN723" s="1356"/>
      <c r="FO723" s="1354" t="str">
        <f t="shared" si="33"/>
        <v/>
      </c>
      <c r="FP723" s="1355"/>
      <c r="FQ723" s="1355"/>
      <c r="FR723" s="1355"/>
      <c r="FS723" s="1356"/>
      <c r="FT723" s="1354" t="str">
        <f t="shared" si="34"/>
        <v/>
      </c>
      <c r="FU723" s="1355"/>
      <c r="FV723" s="1355"/>
      <c r="FW723" s="1355"/>
      <c r="FX723" s="1356"/>
      <c r="FY723" s="1354" t="str">
        <f t="shared" si="35"/>
        <v/>
      </c>
      <c r="FZ723" s="1355"/>
      <c r="GA723" s="1355"/>
      <c r="GB723" s="1355"/>
      <c r="GC723" s="1356"/>
    </row>
    <row r="724" spans="1:185" ht="13" customHeight="1">
      <c r="B724" s="1358" t="s">
        <v>164</v>
      </c>
      <c r="C724" s="1359"/>
      <c r="D724" s="1359"/>
      <c r="E724" s="1359"/>
      <c r="F724" s="1360"/>
      <c r="G724" s="1367">
        <v>3</v>
      </c>
      <c r="H724" s="1368"/>
      <c r="I724" s="1368"/>
      <c r="J724" s="1369"/>
      <c r="K724" s="1608">
        <v>1004</v>
      </c>
      <c r="L724" s="1609"/>
      <c r="M724" s="1609"/>
      <c r="N724" s="1610"/>
      <c r="O724" s="1471">
        <v>1144</v>
      </c>
      <c r="P724" s="1472"/>
      <c r="Q724" s="1472"/>
      <c r="R724" s="1472"/>
      <c r="S724" s="1473"/>
      <c r="T724" s="1471">
        <v>146</v>
      </c>
      <c r="U724" s="1472"/>
      <c r="V724" s="1472"/>
      <c r="W724" s="1473"/>
      <c r="X724" s="1361">
        <f t="shared" si="8"/>
        <v>1290</v>
      </c>
      <c r="Y724" s="1362"/>
      <c r="Z724" s="1362"/>
      <c r="AA724" s="1362"/>
      <c r="AB724" s="1363"/>
      <c r="AC724" s="1618">
        <v>0.3</v>
      </c>
      <c r="AD724" s="1619"/>
      <c r="AE724" s="1619"/>
      <c r="AF724" s="1619"/>
      <c r="AG724" s="1620"/>
      <c r="AH724" s="1364">
        <f t="shared" si="36"/>
        <v>0.3</v>
      </c>
      <c r="AI724" s="1365"/>
      <c r="AJ724" s="1366"/>
      <c r="AK724" s="1358" t="s">
        <v>592</v>
      </c>
      <c r="AL724" s="1359"/>
      <c r="AM724" s="1359"/>
      <c r="AN724" s="1359"/>
      <c r="AO724" s="1360"/>
      <c r="AP724" s="3"/>
      <c r="AQ724" s="3"/>
      <c r="AR724" s="3"/>
      <c r="AS724" s="3"/>
      <c r="AY724" s="116"/>
      <c r="AZ724" s="118">
        <f t="shared" si="9"/>
        <v>4300</v>
      </c>
      <c r="BA724" s="3"/>
      <c r="BB724" s="3"/>
      <c r="BC724" s="3"/>
      <c r="BD724" s="3"/>
      <c r="BE724" s="204"/>
      <c r="BF724" s="294">
        <f t="shared" si="10"/>
        <v>3</v>
      </c>
      <c r="BG724" s="297">
        <f t="shared" si="11"/>
        <v>3.3707865168539325E-2</v>
      </c>
      <c r="BH724" s="298">
        <f t="shared" si="12"/>
        <v>1.0112359550561797E-2</v>
      </c>
      <c r="BI724" s="3"/>
      <c r="BJ724" s="3"/>
      <c r="BK724" s="3"/>
      <c r="BL724" s="3"/>
      <c r="BM724" s="3"/>
      <c r="BN724" s="3"/>
      <c r="BS724" s="294">
        <f t="shared" si="13"/>
        <v>3</v>
      </c>
      <c r="BT724" s="297">
        <f t="shared" si="14"/>
        <v>3.3707865168539325E-2</v>
      </c>
      <c r="BU724" s="298">
        <f t="shared" si="15"/>
        <v>1.0112359550561797E-2</v>
      </c>
      <c r="CC724" s="3"/>
      <c r="CE724" s="3"/>
      <c r="CF724" s="3"/>
      <c r="CG724" s="1354">
        <f t="shared" si="37"/>
        <v>0</v>
      </c>
      <c r="CH724" s="1356"/>
      <c r="CI724" s="1338">
        <f t="shared" si="38"/>
        <v>0</v>
      </c>
      <c r="CJ724" s="1340"/>
      <c r="CK724" s="1354">
        <f t="shared" si="16"/>
        <v>1</v>
      </c>
      <c r="CL724" s="1356"/>
      <c r="CM724" s="1338">
        <f t="shared" si="17"/>
        <v>3</v>
      </c>
      <c r="CN724" s="1340"/>
      <c r="CO724" s="3"/>
      <c r="CP724" s="1335">
        <f t="shared" si="18"/>
        <v>0</v>
      </c>
      <c r="CQ724" s="1336"/>
      <c r="CR724" s="1336"/>
      <c r="CS724" s="1336"/>
      <c r="CT724" s="1337"/>
      <c r="CU724" s="1357">
        <f t="shared" si="19"/>
        <v>0</v>
      </c>
      <c r="CV724" s="1357"/>
      <c r="CW724" s="1357"/>
      <c r="CX724" s="1357"/>
      <c r="CY724" s="1357"/>
      <c r="CZ724" s="1357">
        <f t="shared" si="20"/>
        <v>0</v>
      </c>
      <c r="DA724" s="1357"/>
      <c r="DB724" s="1357"/>
      <c r="DC724" s="1357"/>
      <c r="DD724" s="1357"/>
      <c r="DE724" s="1357">
        <f t="shared" si="21"/>
        <v>3</v>
      </c>
      <c r="DF724" s="1357"/>
      <c r="DG724" s="1357"/>
      <c r="DH724" s="1357"/>
      <c r="DI724" s="1357"/>
      <c r="DJ724" s="1357">
        <f t="shared" si="22"/>
        <v>0</v>
      </c>
      <c r="DK724" s="1357"/>
      <c r="DL724" s="1357"/>
      <c r="DM724" s="1357"/>
      <c r="DN724" s="1357"/>
      <c r="DO724" s="1357">
        <f t="shared" si="23"/>
        <v>0</v>
      </c>
      <c r="DP724" s="1357"/>
      <c r="DQ724" s="1357"/>
      <c r="DR724" s="1357"/>
      <c r="DS724" s="1357"/>
      <c r="DT724" s="6"/>
      <c r="DU724" s="1371">
        <f t="shared" si="24"/>
        <v>0</v>
      </c>
      <c r="DV724" s="1371"/>
      <c r="DW724" s="1371"/>
      <c r="DX724" s="1371"/>
      <c r="DY724" s="1371"/>
      <c r="DZ724" s="1371">
        <f t="shared" si="25"/>
        <v>0</v>
      </c>
      <c r="EA724" s="1371"/>
      <c r="EB724" s="1371"/>
      <c r="EC724" s="1371"/>
      <c r="ED724" s="1371"/>
      <c r="EE724" s="1371">
        <f t="shared" si="26"/>
        <v>0</v>
      </c>
      <c r="EF724" s="1371"/>
      <c r="EG724" s="1371"/>
      <c r="EH724" s="1371"/>
      <c r="EI724" s="1371"/>
      <c r="EJ724" s="1371">
        <f t="shared" si="27"/>
        <v>3</v>
      </c>
      <c r="EK724" s="1371"/>
      <c r="EL724" s="1371"/>
      <c r="EM724" s="1371"/>
      <c r="EN724" s="1371"/>
      <c r="EO724" s="1371">
        <f t="shared" si="28"/>
        <v>0</v>
      </c>
      <c r="EP724" s="1371"/>
      <c r="EQ724" s="1371"/>
      <c r="ER724" s="1371"/>
      <c r="ES724" s="1371"/>
      <c r="ET724" s="1371">
        <f t="shared" si="29"/>
        <v>0</v>
      </c>
      <c r="EU724" s="1371"/>
      <c r="EV724" s="1371"/>
      <c r="EW724" s="1371"/>
      <c r="EX724" s="1371"/>
      <c r="EZ724" s="1354" t="str">
        <f t="shared" si="30"/>
        <v/>
      </c>
      <c r="FA724" s="1355"/>
      <c r="FB724" s="1355"/>
      <c r="FC724" s="1355"/>
      <c r="FD724" s="1356"/>
      <c r="FE724" s="1354" t="str">
        <f t="shared" si="31"/>
        <v/>
      </c>
      <c r="FF724" s="1355"/>
      <c r="FG724" s="1355"/>
      <c r="FH724" s="1355"/>
      <c r="FI724" s="1356"/>
      <c r="FJ724" s="1354" t="str">
        <f t="shared" si="32"/>
        <v/>
      </c>
      <c r="FK724" s="1355"/>
      <c r="FL724" s="1355"/>
      <c r="FM724" s="1355"/>
      <c r="FN724" s="1356"/>
      <c r="FO724" s="1354">
        <f t="shared" si="33"/>
        <v>1144</v>
      </c>
      <c r="FP724" s="1355"/>
      <c r="FQ724" s="1355"/>
      <c r="FR724" s="1355"/>
      <c r="FS724" s="1356"/>
      <c r="FT724" s="1354" t="str">
        <f t="shared" si="34"/>
        <v/>
      </c>
      <c r="FU724" s="1355"/>
      <c r="FV724" s="1355"/>
      <c r="FW724" s="1355"/>
      <c r="FX724" s="1356"/>
      <c r="FY724" s="1354" t="str">
        <f t="shared" si="35"/>
        <v/>
      </c>
      <c r="FZ724" s="1355"/>
      <c r="GA724" s="1355"/>
      <c r="GB724" s="1355"/>
      <c r="GC724" s="1356"/>
    </row>
    <row r="725" spans="1:185" ht="13" customHeight="1">
      <c r="B725" s="1358" t="s">
        <v>164</v>
      </c>
      <c r="C725" s="1359"/>
      <c r="D725" s="1359"/>
      <c r="E725" s="1359"/>
      <c r="F725" s="1360"/>
      <c r="G725" s="1367">
        <v>3</v>
      </c>
      <c r="H725" s="1368"/>
      <c r="I725" s="1368"/>
      <c r="J725" s="1369"/>
      <c r="K725" s="1608">
        <v>1004</v>
      </c>
      <c r="L725" s="1609"/>
      <c r="M725" s="1609"/>
      <c r="N725" s="1610"/>
      <c r="O725" s="1471">
        <v>2004</v>
      </c>
      <c r="P725" s="1472"/>
      <c r="Q725" s="1472"/>
      <c r="R725" s="1472"/>
      <c r="S725" s="1473"/>
      <c r="T725" s="1471">
        <v>146</v>
      </c>
      <c r="U725" s="1472"/>
      <c r="V725" s="1472"/>
      <c r="W725" s="1473"/>
      <c r="X725" s="1361">
        <f t="shared" si="8"/>
        <v>2150</v>
      </c>
      <c r="Y725" s="1362"/>
      <c r="Z725" s="1362"/>
      <c r="AA725" s="1362"/>
      <c r="AB725" s="1363"/>
      <c r="AC725" s="1618">
        <v>0.5</v>
      </c>
      <c r="AD725" s="1619"/>
      <c r="AE725" s="1619"/>
      <c r="AF725" s="1619"/>
      <c r="AG725" s="1620"/>
      <c r="AH725" s="1364">
        <f t="shared" si="36"/>
        <v>0.5</v>
      </c>
      <c r="AI725" s="1365"/>
      <c r="AJ725" s="1366"/>
      <c r="AK725" s="1358" t="s">
        <v>592</v>
      </c>
      <c r="AL725" s="1359"/>
      <c r="AM725" s="1359"/>
      <c r="AN725" s="1359"/>
      <c r="AO725" s="1360"/>
      <c r="AP725" s="3"/>
      <c r="AQ725" s="3"/>
      <c r="AR725" s="3"/>
      <c r="AS725" s="3"/>
      <c r="AY725" s="1085"/>
      <c r="AZ725" s="118">
        <f t="shared" si="9"/>
        <v>4300</v>
      </c>
      <c r="BA725" s="3"/>
      <c r="BB725" s="3"/>
      <c r="BC725" s="3"/>
      <c r="BD725" s="3"/>
      <c r="BE725" s="204"/>
      <c r="BF725" s="294">
        <f t="shared" si="10"/>
        <v>3</v>
      </c>
      <c r="BG725" s="297">
        <f t="shared" si="11"/>
        <v>3.3707865168539325E-2</v>
      </c>
      <c r="BH725" s="298">
        <f t="shared" si="12"/>
        <v>1.6853932584269662E-2</v>
      </c>
      <c r="BI725" s="3"/>
      <c r="BJ725" s="3"/>
      <c r="BK725" s="3"/>
      <c r="BL725" s="3"/>
      <c r="BM725" s="3"/>
      <c r="BN725" s="3"/>
      <c r="BS725" s="294">
        <f t="shared" si="13"/>
        <v>3</v>
      </c>
      <c r="BT725" s="297">
        <f t="shared" si="14"/>
        <v>3.3707865168539325E-2</v>
      </c>
      <c r="BU725" s="298">
        <f t="shared" si="15"/>
        <v>1.6853932584269662E-2</v>
      </c>
      <c r="BV725" s="292"/>
      <c r="BW725" s="3"/>
      <c r="BX725" s="3"/>
      <c r="BY725" s="3"/>
      <c r="BZ725" s="3"/>
      <c r="CA725" s="3"/>
      <c r="CB725" s="3"/>
      <c r="CC725" s="3"/>
      <c r="CE725" s="3"/>
      <c r="CF725" s="3"/>
      <c r="CG725" s="1354">
        <f t="shared" si="37"/>
        <v>1</v>
      </c>
      <c r="CH725" s="1356"/>
      <c r="CI725" s="1338">
        <f t="shared" si="38"/>
        <v>3</v>
      </c>
      <c r="CJ725" s="1340"/>
      <c r="CK725" s="1354">
        <f t="shared" si="16"/>
        <v>0</v>
      </c>
      <c r="CL725" s="1356"/>
      <c r="CM725" s="1338">
        <f t="shared" si="17"/>
        <v>0</v>
      </c>
      <c r="CN725" s="1340"/>
      <c r="CO725" s="3"/>
      <c r="CP725" s="1335">
        <f t="shared" si="18"/>
        <v>0</v>
      </c>
      <c r="CQ725" s="1336"/>
      <c r="CR725" s="1336"/>
      <c r="CS725" s="1336"/>
      <c r="CT725" s="1337"/>
      <c r="CU725" s="1357">
        <f t="shared" si="19"/>
        <v>0</v>
      </c>
      <c r="CV725" s="1357"/>
      <c r="CW725" s="1357"/>
      <c r="CX725" s="1357"/>
      <c r="CY725" s="1357"/>
      <c r="CZ725" s="1357">
        <f t="shared" si="20"/>
        <v>0</v>
      </c>
      <c r="DA725" s="1357"/>
      <c r="DB725" s="1357"/>
      <c r="DC725" s="1357"/>
      <c r="DD725" s="1357"/>
      <c r="DE725" s="1357">
        <f t="shared" si="21"/>
        <v>3</v>
      </c>
      <c r="DF725" s="1357"/>
      <c r="DG725" s="1357"/>
      <c r="DH725" s="1357"/>
      <c r="DI725" s="1357"/>
      <c r="DJ725" s="1357">
        <f t="shared" si="22"/>
        <v>0</v>
      </c>
      <c r="DK725" s="1357"/>
      <c r="DL725" s="1357"/>
      <c r="DM725" s="1357"/>
      <c r="DN725" s="1357"/>
      <c r="DO725" s="1357">
        <f t="shared" si="23"/>
        <v>0</v>
      </c>
      <c r="DP725" s="1357"/>
      <c r="DQ725" s="1357"/>
      <c r="DR725" s="1357"/>
      <c r="DS725" s="1357"/>
      <c r="DT725" s="6"/>
      <c r="DU725" s="1371">
        <f t="shared" si="24"/>
        <v>0</v>
      </c>
      <c r="DV725" s="1371"/>
      <c r="DW725" s="1371"/>
      <c r="DX725" s="1371"/>
      <c r="DY725" s="1371"/>
      <c r="DZ725" s="1371">
        <f t="shared" si="25"/>
        <v>0</v>
      </c>
      <c r="EA725" s="1371"/>
      <c r="EB725" s="1371"/>
      <c r="EC725" s="1371"/>
      <c r="ED725" s="1371"/>
      <c r="EE725" s="1371">
        <f t="shared" si="26"/>
        <v>0</v>
      </c>
      <c r="EF725" s="1371"/>
      <c r="EG725" s="1371"/>
      <c r="EH725" s="1371"/>
      <c r="EI725" s="1371"/>
      <c r="EJ725" s="1371">
        <f t="shared" si="27"/>
        <v>0</v>
      </c>
      <c r="EK725" s="1371"/>
      <c r="EL725" s="1371"/>
      <c r="EM725" s="1371"/>
      <c r="EN725" s="1371"/>
      <c r="EO725" s="1371">
        <f t="shared" si="28"/>
        <v>0</v>
      </c>
      <c r="EP725" s="1371"/>
      <c r="EQ725" s="1371"/>
      <c r="ER725" s="1371"/>
      <c r="ES725" s="1371"/>
      <c r="ET725" s="1371">
        <f t="shared" si="29"/>
        <v>0</v>
      </c>
      <c r="EU725" s="1371"/>
      <c r="EV725" s="1371"/>
      <c r="EW725" s="1371"/>
      <c r="EX725" s="1371"/>
      <c r="EZ725" s="1354" t="str">
        <f t="shared" si="30"/>
        <v/>
      </c>
      <c r="FA725" s="1355"/>
      <c r="FB725" s="1355"/>
      <c r="FC725" s="1355"/>
      <c r="FD725" s="1356"/>
      <c r="FE725" s="1354" t="str">
        <f t="shared" si="31"/>
        <v/>
      </c>
      <c r="FF725" s="1355"/>
      <c r="FG725" s="1355"/>
      <c r="FH725" s="1355"/>
      <c r="FI725" s="1356"/>
      <c r="FJ725" s="1354" t="str">
        <f t="shared" si="32"/>
        <v/>
      </c>
      <c r="FK725" s="1355"/>
      <c r="FL725" s="1355"/>
      <c r="FM725" s="1355"/>
      <c r="FN725" s="1356"/>
      <c r="FO725" s="1354">
        <f t="shared" si="33"/>
        <v>2004</v>
      </c>
      <c r="FP725" s="1355"/>
      <c r="FQ725" s="1355"/>
      <c r="FR725" s="1355"/>
      <c r="FS725" s="1356"/>
      <c r="FT725" s="1354" t="str">
        <f t="shared" si="34"/>
        <v/>
      </c>
      <c r="FU725" s="1355"/>
      <c r="FV725" s="1355"/>
      <c r="FW725" s="1355"/>
      <c r="FX725" s="1356"/>
      <c r="FY725" s="1354" t="str">
        <f t="shared" si="35"/>
        <v/>
      </c>
      <c r="FZ725" s="1355"/>
      <c r="GA725" s="1355"/>
      <c r="GB725" s="1355"/>
      <c r="GC725" s="1356"/>
    </row>
    <row r="726" spans="1:185" ht="13" customHeight="1">
      <c r="B726" s="1358" t="s">
        <v>164</v>
      </c>
      <c r="C726" s="1359"/>
      <c r="D726" s="1359"/>
      <c r="E726" s="1359"/>
      <c r="F726" s="1360"/>
      <c r="G726" s="1367">
        <v>17</v>
      </c>
      <c r="H726" s="1368"/>
      <c r="I726" s="1368"/>
      <c r="J726" s="1369"/>
      <c r="K726" s="1608">
        <v>1004</v>
      </c>
      <c r="L726" s="1609"/>
      <c r="M726" s="1609"/>
      <c r="N726" s="1610"/>
      <c r="O726" s="1471">
        <v>2434</v>
      </c>
      <c r="P726" s="1472"/>
      <c r="Q726" s="1472"/>
      <c r="R726" s="1472"/>
      <c r="S726" s="1473"/>
      <c r="T726" s="1471">
        <v>146</v>
      </c>
      <c r="U726" s="1472"/>
      <c r="V726" s="1472"/>
      <c r="W726" s="1473"/>
      <c r="X726" s="1361">
        <f t="shared" si="8"/>
        <v>2580</v>
      </c>
      <c r="Y726" s="1362"/>
      <c r="Z726" s="1362"/>
      <c r="AA726" s="1362"/>
      <c r="AB726" s="1363"/>
      <c r="AC726" s="1618">
        <v>0.6</v>
      </c>
      <c r="AD726" s="1619"/>
      <c r="AE726" s="1619"/>
      <c r="AF726" s="1619"/>
      <c r="AG726" s="1620"/>
      <c r="AH726" s="1364">
        <f t="shared" si="36"/>
        <v>0.6</v>
      </c>
      <c r="AI726" s="1365"/>
      <c r="AJ726" s="1366"/>
      <c r="AK726" s="1358" t="s">
        <v>592</v>
      </c>
      <c r="AL726" s="1359"/>
      <c r="AM726" s="1359"/>
      <c r="AN726" s="1359"/>
      <c r="AO726" s="1360"/>
      <c r="AP726" s="3"/>
      <c r="AQ726" s="3"/>
      <c r="AR726" s="3"/>
      <c r="AS726" s="3"/>
      <c r="AY726" s="1085"/>
      <c r="AZ726" s="118">
        <f t="shared" si="9"/>
        <v>4300</v>
      </c>
      <c r="BA726" s="3"/>
      <c r="BB726" s="3"/>
      <c r="BC726" s="3"/>
      <c r="BD726" s="3"/>
      <c r="BE726" s="204"/>
      <c r="BF726" s="294">
        <f t="shared" si="10"/>
        <v>17</v>
      </c>
      <c r="BG726" s="297">
        <f t="shared" si="11"/>
        <v>0.19101123595505617</v>
      </c>
      <c r="BH726" s="298">
        <f t="shared" si="12"/>
        <v>0.1146067415730337</v>
      </c>
      <c r="BI726" s="3"/>
      <c r="BJ726" s="3"/>
      <c r="BK726" s="3"/>
      <c r="BL726" s="3"/>
      <c r="BM726" s="3"/>
      <c r="BN726" s="3"/>
      <c r="BS726" s="294">
        <f t="shared" si="13"/>
        <v>17</v>
      </c>
      <c r="BT726" s="297">
        <f t="shared" si="14"/>
        <v>0.19101123595505617</v>
      </c>
      <c r="BU726" s="298">
        <f t="shared" si="15"/>
        <v>0.1146067415730337</v>
      </c>
      <c r="BV726" s="3"/>
      <c r="BW726" s="3"/>
      <c r="BX726" s="3"/>
      <c r="BY726" s="3"/>
      <c r="BZ726" s="3"/>
      <c r="CA726" s="3"/>
      <c r="CB726" s="3"/>
      <c r="CC726" s="3"/>
      <c r="CE726" s="3"/>
      <c r="CF726" s="3"/>
      <c r="CG726" s="1354">
        <f t="shared" si="37"/>
        <v>0</v>
      </c>
      <c r="CH726" s="1356"/>
      <c r="CI726" s="1338">
        <f t="shared" si="38"/>
        <v>0</v>
      </c>
      <c r="CJ726" s="1340"/>
      <c r="CK726" s="1354">
        <f t="shared" si="16"/>
        <v>0</v>
      </c>
      <c r="CL726" s="1356"/>
      <c r="CM726" s="1338">
        <f t="shared" si="17"/>
        <v>0</v>
      </c>
      <c r="CN726" s="1340"/>
      <c r="CO726" s="3"/>
      <c r="CP726" s="1335">
        <f t="shared" si="18"/>
        <v>0</v>
      </c>
      <c r="CQ726" s="1336"/>
      <c r="CR726" s="1336"/>
      <c r="CS726" s="1336"/>
      <c r="CT726" s="1337"/>
      <c r="CU726" s="1357">
        <f t="shared" si="19"/>
        <v>0</v>
      </c>
      <c r="CV726" s="1357"/>
      <c r="CW726" s="1357"/>
      <c r="CX726" s="1357"/>
      <c r="CY726" s="1357"/>
      <c r="CZ726" s="1357">
        <f t="shared" si="20"/>
        <v>0</v>
      </c>
      <c r="DA726" s="1357"/>
      <c r="DB726" s="1357"/>
      <c r="DC726" s="1357"/>
      <c r="DD726" s="1357"/>
      <c r="DE726" s="1357">
        <f t="shared" si="21"/>
        <v>17</v>
      </c>
      <c r="DF726" s="1357"/>
      <c r="DG726" s="1357"/>
      <c r="DH726" s="1357"/>
      <c r="DI726" s="1357"/>
      <c r="DJ726" s="1357">
        <f t="shared" si="22"/>
        <v>0</v>
      </c>
      <c r="DK726" s="1357"/>
      <c r="DL726" s="1357"/>
      <c r="DM726" s="1357"/>
      <c r="DN726" s="1357"/>
      <c r="DO726" s="1357">
        <f t="shared" si="23"/>
        <v>0</v>
      </c>
      <c r="DP726" s="1357"/>
      <c r="DQ726" s="1357"/>
      <c r="DR726" s="1357"/>
      <c r="DS726" s="1357"/>
      <c r="DT726" s="6"/>
      <c r="DU726" s="1371">
        <f t="shared" si="24"/>
        <v>0</v>
      </c>
      <c r="DV726" s="1371"/>
      <c r="DW726" s="1371"/>
      <c r="DX726" s="1371"/>
      <c r="DY726" s="1371"/>
      <c r="DZ726" s="1371">
        <f t="shared" si="25"/>
        <v>0</v>
      </c>
      <c r="EA726" s="1371"/>
      <c r="EB726" s="1371"/>
      <c r="EC726" s="1371"/>
      <c r="ED726" s="1371"/>
      <c r="EE726" s="1371">
        <f t="shared" si="26"/>
        <v>0</v>
      </c>
      <c r="EF726" s="1371"/>
      <c r="EG726" s="1371"/>
      <c r="EH726" s="1371"/>
      <c r="EI726" s="1371"/>
      <c r="EJ726" s="1371">
        <f t="shared" si="27"/>
        <v>0</v>
      </c>
      <c r="EK726" s="1371"/>
      <c r="EL726" s="1371"/>
      <c r="EM726" s="1371"/>
      <c r="EN726" s="1371"/>
      <c r="EO726" s="1371">
        <f t="shared" si="28"/>
        <v>0</v>
      </c>
      <c r="EP726" s="1371"/>
      <c r="EQ726" s="1371"/>
      <c r="ER726" s="1371"/>
      <c r="ES726" s="1371"/>
      <c r="ET726" s="1371">
        <f t="shared" si="29"/>
        <v>0</v>
      </c>
      <c r="EU726" s="1371"/>
      <c r="EV726" s="1371"/>
      <c r="EW726" s="1371"/>
      <c r="EX726" s="1371"/>
      <c r="EY726" s="4"/>
      <c r="EZ726" s="1354" t="str">
        <f t="shared" si="30"/>
        <v/>
      </c>
      <c r="FA726" s="1355"/>
      <c r="FB726" s="1355"/>
      <c r="FC726" s="1355"/>
      <c r="FD726" s="1356"/>
      <c r="FE726" s="1354" t="str">
        <f t="shared" si="31"/>
        <v/>
      </c>
      <c r="FF726" s="1355"/>
      <c r="FG726" s="1355"/>
      <c r="FH726" s="1355"/>
      <c r="FI726" s="1356"/>
      <c r="FJ726" s="1354" t="str">
        <f t="shared" si="32"/>
        <v/>
      </c>
      <c r="FK726" s="1355"/>
      <c r="FL726" s="1355"/>
      <c r="FM726" s="1355"/>
      <c r="FN726" s="1356"/>
      <c r="FO726" s="1354">
        <f t="shared" si="33"/>
        <v>2434</v>
      </c>
      <c r="FP726" s="1355"/>
      <c r="FQ726" s="1355"/>
      <c r="FR726" s="1355"/>
      <c r="FS726" s="1356"/>
      <c r="FT726" s="1354" t="str">
        <f t="shared" si="34"/>
        <v/>
      </c>
      <c r="FU726" s="1355"/>
      <c r="FV726" s="1355"/>
      <c r="FW726" s="1355"/>
      <c r="FX726" s="1356"/>
      <c r="FY726" s="1354" t="str">
        <f t="shared" si="35"/>
        <v/>
      </c>
      <c r="FZ726" s="1355"/>
      <c r="GA726" s="1355"/>
      <c r="GB726" s="1355"/>
      <c r="GC726" s="1356"/>
    </row>
    <row r="727" spans="1:185" ht="13" customHeight="1">
      <c r="A727" s="4"/>
      <c r="B727" s="1358"/>
      <c r="C727" s="1359"/>
      <c r="D727" s="1359"/>
      <c r="E727" s="1359"/>
      <c r="F727" s="1360"/>
      <c r="G727" s="1367"/>
      <c r="H727" s="1368"/>
      <c r="I727" s="1368"/>
      <c r="J727" s="1369"/>
      <c r="K727" s="1608"/>
      <c r="L727" s="1609"/>
      <c r="M727" s="1609"/>
      <c r="N727" s="1610"/>
      <c r="O727" s="1471"/>
      <c r="P727" s="1472"/>
      <c r="Q727" s="1472"/>
      <c r="R727" s="1472"/>
      <c r="S727" s="1473"/>
      <c r="T727" s="1471"/>
      <c r="U727" s="1472"/>
      <c r="V727" s="1472"/>
      <c r="W727" s="1473"/>
      <c r="X727" s="1361">
        <f t="shared" si="8"/>
        <v>0</v>
      </c>
      <c r="Y727" s="1362"/>
      <c r="Z727" s="1362"/>
      <c r="AA727" s="1362"/>
      <c r="AB727" s="1363"/>
      <c r="AC727" s="1618"/>
      <c r="AD727" s="1619"/>
      <c r="AE727" s="1619"/>
      <c r="AF727" s="1619"/>
      <c r="AG727" s="1620"/>
      <c r="AH727" s="1364" t="str">
        <f t="shared" si="36"/>
        <v/>
      </c>
      <c r="AI727" s="1365"/>
      <c r="AJ727" s="1366"/>
      <c r="AK727" s="1358" t="s">
        <v>592</v>
      </c>
      <c r="AL727" s="1359"/>
      <c r="AM727" s="1359"/>
      <c r="AN727" s="1359"/>
      <c r="AO727" s="1360"/>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4">
        <f t="shared" si="37"/>
        <v>0</v>
      </c>
      <c r="CH727" s="1356"/>
      <c r="CI727" s="1338">
        <f t="shared" si="38"/>
        <v>0</v>
      </c>
      <c r="CJ727" s="1340"/>
      <c r="CK727" s="1354">
        <f t="shared" si="16"/>
        <v>0</v>
      </c>
      <c r="CL727" s="1356"/>
      <c r="CM727" s="1338">
        <f t="shared" si="17"/>
        <v>0</v>
      </c>
      <c r="CN727" s="1340"/>
      <c r="CO727" s="3"/>
      <c r="CP727" s="1335">
        <f t="shared" si="18"/>
        <v>0</v>
      </c>
      <c r="CQ727" s="1336"/>
      <c r="CR727" s="1336"/>
      <c r="CS727" s="1336"/>
      <c r="CT727" s="1337"/>
      <c r="CU727" s="1357">
        <f t="shared" si="19"/>
        <v>0</v>
      </c>
      <c r="CV727" s="1357"/>
      <c r="CW727" s="1357"/>
      <c r="CX727" s="1357"/>
      <c r="CY727" s="1357"/>
      <c r="CZ727" s="1357">
        <f t="shared" si="20"/>
        <v>0</v>
      </c>
      <c r="DA727" s="1357"/>
      <c r="DB727" s="1357"/>
      <c r="DC727" s="1357"/>
      <c r="DD727" s="1357"/>
      <c r="DE727" s="1357">
        <f t="shared" si="21"/>
        <v>0</v>
      </c>
      <c r="DF727" s="1357"/>
      <c r="DG727" s="1357"/>
      <c r="DH727" s="1357"/>
      <c r="DI727" s="1357"/>
      <c r="DJ727" s="1357">
        <f t="shared" si="22"/>
        <v>0</v>
      </c>
      <c r="DK727" s="1357"/>
      <c r="DL727" s="1357"/>
      <c r="DM727" s="1357"/>
      <c r="DN727" s="1357"/>
      <c r="DO727" s="1357">
        <f t="shared" si="23"/>
        <v>0</v>
      </c>
      <c r="DP727" s="1357"/>
      <c r="DQ727" s="1357"/>
      <c r="DR727" s="1357"/>
      <c r="DS727" s="1357"/>
      <c r="DT727" s="6"/>
      <c r="DU727" s="1371">
        <f t="shared" si="24"/>
        <v>0</v>
      </c>
      <c r="DV727" s="1371"/>
      <c r="DW727" s="1371"/>
      <c r="DX727" s="1371"/>
      <c r="DY727" s="1371"/>
      <c r="DZ727" s="1371">
        <f t="shared" si="25"/>
        <v>0</v>
      </c>
      <c r="EA727" s="1371"/>
      <c r="EB727" s="1371"/>
      <c r="EC727" s="1371"/>
      <c r="ED727" s="1371"/>
      <c r="EE727" s="1371">
        <f t="shared" si="26"/>
        <v>0</v>
      </c>
      <c r="EF727" s="1371"/>
      <c r="EG727" s="1371"/>
      <c r="EH727" s="1371"/>
      <c r="EI727" s="1371"/>
      <c r="EJ727" s="1371">
        <f t="shared" si="27"/>
        <v>0</v>
      </c>
      <c r="EK727" s="1371"/>
      <c r="EL727" s="1371"/>
      <c r="EM727" s="1371"/>
      <c r="EN727" s="1371"/>
      <c r="EO727" s="1371">
        <f t="shared" si="28"/>
        <v>0</v>
      </c>
      <c r="EP727" s="1371"/>
      <c r="EQ727" s="1371"/>
      <c r="ER727" s="1371"/>
      <c r="ES727" s="1371"/>
      <c r="ET727" s="1371">
        <f t="shared" si="29"/>
        <v>0</v>
      </c>
      <c r="EU727" s="1371"/>
      <c r="EV727" s="1371"/>
      <c r="EW727" s="1371"/>
      <c r="EX727" s="1371"/>
      <c r="EY727" s="4"/>
      <c r="EZ727" s="1354" t="str">
        <f t="shared" si="30"/>
        <v/>
      </c>
      <c r="FA727" s="1355"/>
      <c r="FB727" s="1355"/>
      <c r="FC727" s="1355"/>
      <c r="FD727" s="1356"/>
      <c r="FE727" s="1354" t="str">
        <f t="shared" si="31"/>
        <v/>
      </c>
      <c r="FF727" s="1355"/>
      <c r="FG727" s="1355"/>
      <c r="FH727" s="1355"/>
      <c r="FI727" s="1356"/>
      <c r="FJ727" s="1354" t="str">
        <f t="shared" si="32"/>
        <v/>
      </c>
      <c r="FK727" s="1355"/>
      <c r="FL727" s="1355"/>
      <c r="FM727" s="1355"/>
      <c r="FN727" s="1356"/>
      <c r="FO727" s="1354" t="str">
        <f t="shared" si="33"/>
        <v/>
      </c>
      <c r="FP727" s="1355"/>
      <c r="FQ727" s="1355"/>
      <c r="FR727" s="1355"/>
      <c r="FS727" s="1356"/>
      <c r="FT727" s="1354" t="str">
        <f t="shared" si="34"/>
        <v/>
      </c>
      <c r="FU727" s="1355"/>
      <c r="FV727" s="1355"/>
      <c r="FW727" s="1355"/>
      <c r="FX727" s="1356"/>
      <c r="FY727" s="1354" t="str">
        <f t="shared" si="35"/>
        <v/>
      </c>
      <c r="FZ727" s="1355"/>
      <c r="GA727" s="1355"/>
      <c r="GB727" s="1355"/>
      <c r="GC727" s="1356"/>
    </row>
    <row r="728" spans="1:185" ht="13" customHeight="1">
      <c r="A728" s="4"/>
      <c r="B728" s="1358"/>
      <c r="C728" s="1359"/>
      <c r="D728" s="1359"/>
      <c r="E728" s="1359"/>
      <c r="F728" s="1360"/>
      <c r="G728" s="1367"/>
      <c r="H728" s="1368"/>
      <c r="I728" s="1368"/>
      <c r="J728" s="1369"/>
      <c r="K728" s="1608"/>
      <c r="L728" s="1609"/>
      <c r="M728" s="1609"/>
      <c r="N728" s="1610"/>
      <c r="O728" s="1471"/>
      <c r="P728" s="1472"/>
      <c r="Q728" s="1472"/>
      <c r="R728" s="1472"/>
      <c r="S728" s="1473"/>
      <c r="T728" s="1471"/>
      <c r="U728" s="1472"/>
      <c r="V728" s="1472"/>
      <c r="W728" s="1473"/>
      <c r="X728" s="1361">
        <f t="shared" si="8"/>
        <v>0</v>
      </c>
      <c r="Y728" s="1362"/>
      <c r="Z728" s="1362"/>
      <c r="AA728" s="1362"/>
      <c r="AB728" s="1363"/>
      <c r="AC728" s="1618"/>
      <c r="AD728" s="1619"/>
      <c r="AE728" s="1619"/>
      <c r="AF728" s="1619"/>
      <c r="AG728" s="1620"/>
      <c r="AH728" s="1364" t="str">
        <f t="shared" si="36"/>
        <v/>
      </c>
      <c r="AI728" s="1365"/>
      <c r="AJ728" s="1366"/>
      <c r="AK728" s="1358" t="s">
        <v>592</v>
      </c>
      <c r="AL728" s="1359"/>
      <c r="AM728" s="1359"/>
      <c r="AN728" s="1359"/>
      <c r="AO728" s="1360"/>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4">
        <f t="shared" si="37"/>
        <v>0</v>
      </c>
      <c r="CH728" s="1356"/>
      <c r="CI728" s="1338">
        <f t="shared" si="38"/>
        <v>0</v>
      </c>
      <c r="CJ728" s="1340"/>
      <c r="CK728" s="1354">
        <f t="shared" si="16"/>
        <v>0</v>
      </c>
      <c r="CL728" s="1356"/>
      <c r="CM728" s="1338">
        <f t="shared" si="17"/>
        <v>0</v>
      </c>
      <c r="CN728" s="1340"/>
      <c r="CO728" s="3"/>
      <c r="CP728" s="1335">
        <f t="shared" si="18"/>
        <v>0</v>
      </c>
      <c r="CQ728" s="1336"/>
      <c r="CR728" s="1336"/>
      <c r="CS728" s="1336"/>
      <c r="CT728" s="1337"/>
      <c r="CU728" s="1357">
        <f t="shared" si="19"/>
        <v>0</v>
      </c>
      <c r="CV728" s="1357"/>
      <c r="CW728" s="1357"/>
      <c r="CX728" s="1357"/>
      <c r="CY728" s="1357"/>
      <c r="CZ728" s="1357">
        <f t="shared" si="20"/>
        <v>0</v>
      </c>
      <c r="DA728" s="1357"/>
      <c r="DB728" s="1357"/>
      <c r="DC728" s="1357"/>
      <c r="DD728" s="1357"/>
      <c r="DE728" s="1357">
        <f t="shared" si="21"/>
        <v>0</v>
      </c>
      <c r="DF728" s="1357"/>
      <c r="DG728" s="1357"/>
      <c r="DH728" s="1357"/>
      <c r="DI728" s="1357"/>
      <c r="DJ728" s="1357">
        <f t="shared" si="22"/>
        <v>0</v>
      </c>
      <c r="DK728" s="1357"/>
      <c r="DL728" s="1357"/>
      <c r="DM728" s="1357"/>
      <c r="DN728" s="1357"/>
      <c r="DO728" s="1357">
        <f t="shared" si="23"/>
        <v>0</v>
      </c>
      <c r="DP728" s="1357"/>
      <c r="DQ728" s="1357"/>
      <c r="DR728" s="1357"/>
      <c r="DS728" s="1357"/>
      <c r="DT728" s="6"/>
      <c r="DU728" s="1371">
        <f t="shared" si="24"/>
        <v>0</v>
      </c>
      <c r="DV728" s="1371"/>
      <c r="DW728" s="1371"/>
      <c r="DX728" s="1371"/>
      <c r="DY728" s="1371"/>
      <c r="DZ728" s="1371">
        <f t="shared" si="25"/>
        <v>0</v>
      </c>
      <c r="EA728" s="1371"/>
      <c r="EB728" s="1371"/>
      <c r="EC728" s="1371"/>
      <c r="ED728" s="1371"/>
      <c r="EE728" s="1371">
        <f t="shared" si="26"/>
        <v>0</v>
      </c>
      <c r="EF728" s="1371"/>
      <c r="EG728" s="1371"/>
      <c r="EH728" s="1371"/>
      <c r="EI728" s="1371"/>
      <c r="EJ728" s="1371">
        <f t="shared" si="27"/>
        <v>0</v>
      </c>
      <c r="EK728" s="1371"/>
      <c r="EL728" s="1371"/>
      <c r="EM728" s="1371"/>
      <c r="EN728" s="1371"/>
      <c r="EO728" s="1371">
        <f t="shared" si="28"/>
        <v>0</v>
      </c>
      <c r="EP728" s="1371"/>
      <c r="EQ728" s="1371"/>
      <c r="ER728" s="1371"/>
      <c r="ES728" s="1371"/>
      <c r="ET728" s="1371">
        <f t="shared" si="29"/>
        <v>0</v>
      </c>
      <c r="EU728" s="1371"/>
      <c r="EV728" s="1371"/>
      <c r="EW728" s="1371"/>
      <c r="EX728" s="1371"/>
      <c r="EY728" s="4"/>
      <c r="EZ728" s="1354" t="str">
        <f t="shared" si="30"/>
        <v/>
      </c>
      <c r="FA728" s="1355"/>
      <c r="FB728" s="1355"/>
      <c r="FC728" s="1355"/>
      <c r="FD728" s="1356"/>
      <c r="FE728" s="1354" t="str">
        <f t="shared" si="31"/>
        <v/>
      </c>
      <c r="FF728" s="1355"/>
      <c r="FG728" s="1355"/>
      <c r="FH728" s="1355"/>
      <c r="FI728" s="1356"/>
      <c r="FJ728" s="1354" t="str">
        <f t="shared" si="32"/>
        <v/>
      </c>
      <c r="FK728" s="1355"/>
      <c r="FL728" s="1355"/>
      <c r="FM728" s="1355"/>
      <c r="FN728" s="1356"/>
      <c r="FO728" s="1354" t="str">
        <f t="shared" si="33"/>
        <v/>
      </c>
      <c r="FP728" s="1355"/>
      <c r="FQ728" s="1355"/>
      <c r="FR728" s="1355"/>
      <c r="FS728" s="1356"/>
      <c r="FT728" s="1354" t="str">
        <f t="shared" si="34"/>
        <v/>
      </c>
      <c r="FU728" s="1355"/>
      <c r="FV728" s="1355"/>
      <c r="FW728" s="1355"/>
      <c r="FX728" s="1356"/>
      <c r="FY728" s="1354" t="str">
        <f t="shared" si="35"/>
        <v/>
      </c>
      <c r="FZ728" s="1355"/>
      <c r="GA728" s="1355"/>
      <c r="GB728" s="1355"/>
      <c r="GC728" s="1356"/>
    </row>
    <row r="729" spans="1:185" ht="13" customHeight="1">
      <c r="A729" s="4"/>
      <c r="B729" s="1358"/>
      <c r="C729" s="1359"/>
      <c r="D729" s="1359"/>
      <c r="E729" s="1359"/>
      <c r="F729" s="1360"/>
      <c r="G729" s="1367"/>
      <c r="H729" s="1368"/>
      <c r="I729" s="1368"/>
      <c r="J729" s="1369"/>
      <c r="K729" s="1608"/>
      <c r="L729" s="1609"/>
      <c r="M729" s="1609"/>
      <c r="N729" s="1610"/>
      <c r="O729" s="1471"/>
      <c r="P729" s="1472"/>
      <c r="Q729" s="1472"/>
      <c r="R729" s="1472"/>
      <c r="S729" s="1473"/>
      <c r="T729" s="1471"/>
      <c r="U729" s="1472"/>
      <c r="V729" s="1472"/>
      <c r="W729" s="1473"/>
      <c r="X729" s="1361">
        <f t="shared" si="8"/>
        <v>0</v>
      </c>
      <c r="Y729" s="1362"/>
      <c r="Z729" s="1362"/>
      <c r="AA729" s="1362"/>
      <c r="AB729" s="1363"/>
      <c r="AC729" s="1618"/>
      <c r="AD729" s="1619"/>
      <c r="AE729" s="1619"/>
      <c r="AF729" s="1619"/>
      <c r="AG729" s="1620"/>
      <c r="AH729" s="1364" t="str">
        <f t="shared" si="36"/>
        <v/>
      </c>
      <c r="AI729" s="1365"/>
      <c r="AJ729" s="1366"/>
      <c r="AK729" s="1358" t="s">
        <v>592</v>
      </c>
      <c r="AL729" s="1359"/>
      <c r="AM729" s="1359"/>
      <c r="AN729" s="1359"/>
      <c r="AO729" s="1360"/>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4">
        <f t="shared" si="37"/>
        <v>0</v>
      </c>
      <c r="CH729" s="1356"/>
      <c r="CI729" s="1338">
        <f t="shared" si="38"/>
        <v>0</v>
      </c>
      <c r="CJ729" s="1340"/>
      <c r="CK729" s="1354">
        <f t="shared" si="16"/>
        <v>0</v>
      </c>
      <c r="CL729" s="1356"/>
      <c r="CM729" s="1338">
        <f t="shared" si="17"/>
        <v>0</v>
      </c>
      <c r="CN729" s="1340"/>
      <c r="CO729" s="3"/>
      <c r="CP729" s="1335">
        <f t="shared" si="18"/>
        <v>0</v>
      </c>
      <c r="CQ729" s="1336"/>
      <c r="CR729" s="1336"/>
      <c r="CS729" s="1336"/>
      <c r="CT729" s="1337"/>
      <c r="CU729" s="1357">
        <f t="shared" si="19"/>
        <v>0</v>
      </c>
      <c r="CV729" s="1357"/>
      <c r="CW729" s="1357"/>
      <c r="CX729" s="1357"/>
      <c r="CY729" s="1357"/>
      <c r="CZ729" s="1357">
        <f t="shared" si="20"/>
        <v>0</v>
      </c>
      <c r="DA729" s="1357"/>
      <c r="DB729" s="1357"/>
      <c r="DC729" s="1357"/>
      <c r="DD729" s="1357"/>
      <c r="DE729" s="1357">
        <f t="shared" si="21"/>
        <v>0</v>
      </c>
      <c r="DF729" s="1357"/>
      <c r="DG729" s="1357"/>
      <c r="DH729" s="1357"/>
      <c r="DI729" s="1357"/>
      <c r="DJ729" s="1357">
        <f t="shared" si="22"/>
        <v>0</v>
      </c>
      <c r="DK729" s="1357"/>
      <c r="DL729" s="1357"/>
      <c r="DM729" s="1357"/>
      <c r="DN729" s="1357"/>
      <c r="DO729" s="1357">
        <f t="shared" si="23"/>
        <v>0</v>
      </c>
      <c r="DP729" s="1357"/>
      <c r="DQ729" s="1357"/>
      <c r="DR729" s="1357"/>
      <c r="DS729" s="1357"/>
      <c r="DT729" s="6"/>
      <c r="DU729" s="1371">
        <f t="shared" si="24"/>
        <v>0</v>
      </c>
      <c r="DV729" s="1371"/>
      <c r="DW729" s="1371"/>
      <c r="DX729" s="1371"/>
      <c r="DY729" s="1371"/>
      <c r="DZ729" s="1371">
        <f t="shared" si="25"/>
        <v>0</v>
      </c>
      <c r="EA729" s="1371"/>
      <c r="EB729" s="1371"/>
      <c r="EC729" s="1371"/>
      <c r="ED729" s="1371"/>
      <c r="EE729" s="1371">
        <f t="shared" si="26"/>
        <v>0</v>
      </c>
      <c r="EF729" s="1371"/>
      <c r="EG729" s="1371"/>
      <c r="EH729" s="1371"/>
      <c r="EI729" s="1371"/>
      <c r="EJ729" s="1371">
        <f t="shared" si="27"/>
        <v>0</v>
      </c>
      <c r="EK729" s="1371"/>
      <c r="EL729" s="1371"/>
      <c r="EM729" s="1371"/>
      <c r="EN729" s="1371"/>
      <c r="EO729" s="1371">
        <f t="shared" si="28"/>
        <v>0</v>
      </c>
      <c r="EP729" s="1371"/>
      <c r="EQ729" s="1371"/>
      <c r="ER729" s="1371"/>
      <c r="ES729" s="1371"/>
      <c r="ET729" s="1371">
        <f t="shared" si="29"/>
        <v>0</v>
      </c>
      <c r="EU729" s="1371"/>
      <c r="EV729" s="1371"/>
      <c r="EW729" s="1371"/>
      <c r="EX729" s="1371"/>
      <c r="EZ729" s="1354" t="str">
        <f t="shared" si="30"/>
        <v/>
      </c>
      <c r="FA729" s="1355"/>
      <c r="FB729" s="1355"/>
      <c r="FC729" s="1355"/>
      <c r="FD729" s="1356"/>
      <c r="FE729" s="1354" t="str">
        <f t="shared" si="31"/>
        <v/>
      </c>
      <c r="FF729" s="1355"/>
      <c r="FG729" s="1355"/>
      <c r="FH729" s="1355"/>
      <c r="FI729" s="1356"/>
      <c r="FJ729" s="1354" t="str">
        <f t="shared" si="32"/>
        <v/>
      </c>
      <c r="FK729" s="1355"/>
      <c r="FL729" s="1355"/>
      <c r="FM729" s="1355"/>
      <c r="FN729" s="1356"/>
      <c r="FO729" s="1354" t="str">
        <f t="shared" si="33"/>
        <v/>
      </c>
      <c r="FP729" s="1355"/>
      <c r="FQ729" s="1355"/>
      <c r="FR729" s="1355"/>
      <c r="FS729" s="1356"/>
      <c r="FT729" s="1354" t="str">
        <f t="shared" si="34"/>
        <v/>
      </c>
      <c r="FU729" s="1355"/>
      <c r="FV729" s="1355"/>
      <c r="FW729" s="1355"/>
      <c r="FX729" s="1356"/>
      <c r="FY729" s="1354" t="str">
        <f t="shared" si="35"/>
        <v/>
      </c>
      <c r="FZ729" s="1355"/>
      <c r="GA729" s="1355"/>
      <c r="GB729" s="1355"/>
      <c r="GC729" s="1356"/>
    </row>
    <row r="730" spans="1:185" ht="13" customHeight="1">
      <c r="B730" s="1358"/>
      <c r="C730" s="1359"/>
      <c r="D730" s="1359"/>
      <c r="E730" s="1359"/>
      <c r="F730" s="1360"/>
      <c r="G730" s="1367"/>
      <c r="H730" s="1368"/>
      <c r="I730" s="1368"/>
      <c r="J730" s="1369"/>
      <c r="K730" s="1608"/>
      <c r="L730" s="1609"/>
      <c r="M730" s="1609"/>
      <c r="N730" s="1610"/>
      <c r="O730" s="1471"/>
      <c r="P730" s="1472"/>
      <c r="Q730" s="1472"/>
      <c r="R730" s="1472"/>
      <c r="S730" s="1473"/>
      <c r="T730" s="1471"/>
      <c r="U730" s="1472"/>
      <c r="V730" s="1472"/>
      <c r="W730" s="1473"/>
      <c r="X730" s="1361">
        <f t="shared" si="8"/>
        <v>0</v>
      </c>
      <c r="Y730" s="1362"/>
      <c r="Z730" s="1362"/>
      <c r="AA730" s="1362"/>
      <c r="AB730" s="1363"/>
      <c r="AC730" s="1618"/>
      <c r="AD730" s="1619"/>
      <c r="AE730" s="1619"/>
      <c r="AF730" s="1619"/>
      <c r="AG730" s="1620"/>
      <c r="AH730" s="1364" t="str">
        <f t="shared" si="36"/>
        <v/>
      </c>
      <c r="AI730" s="1365"/>
      <c r="AJ730" s="1366"/>
      <c r="AK730" s="1358" t="s">
        <v>592</v>
      </c>
      <c r="AL730" s="1359"/>
      <c r="AM730" s="1359"/>
      <c r="AN730" s="1359"/>
      <c r="AO730" s="1360"/>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4">
        <f t="shared" si="37"/>
        <v>0</v>
      </c>
      <c r="CH730" s="1356"/>
      <c r="CI730" s="1338">
        <f t="shared" si="38"/>
        <v>0</v>
      </c>
      <c r="CJ730" s="1340"/>
      <c r="CK730" s="1354">
        <f t="shared" si="16"/>
        <v>0</v>
      </c>
      <c r="CL730" s="1356"/>
      <c r="CM730" s="1338">
        <f t="shared" si="17"/>
        <v>0</v>
      </c>
      <c r="CN730" s="1340"/>
      <c r="CO730" s="3"/>
      <c r="CP730" s="1335">
        <f t="shared" si="18"/>
        <v>0</v>
      </c>
      <c r="CQ730" s="1336"/>
      <c r="CR730" s="1336"/>
      <c r="CS730" s="1336"/>
      <c r="CT730" s="1337"/>
      <c r="CU730" s="1357">
        <f t="shared" si="19"/>
        <v>0</v>
      </c>
      <c r="CV730" s="1357"/>
      <c r="CW730" s="1357"/>
      <c r="CX730" s="1357"/>
      <c r="CY730" s="1357"/>
      <c r="CZ730" s="1357">
        <f t="shared" si="20"/>
        <v>0</v>
      </c>
      <c r="DA730" s="1357"/>
      <c r="DB730" s="1357"/>
      <c r="DC730" s="1357"/>
      <c r="DD730" s="1357"/>
      <c r="DE730" s="1357">
        <f t="shared" si="21"/>
        <v>0</v>
      </c>
      <c r="DF730" s="1357"/>
      <c r="DG730" s="1357"/>
      <c r="DH730" s="1357"/>
      <c r="DI730" s="1357"/>
      <c r="DJ730" s="1357">
        <f t="shared" si="22"/>
        <v>0</v>
      </c>
      <c r="DK730" s="1357"/>
      <c r="DL730" s="1357"/>
      <c r="DM730" s="1357"/>
      <c r="DN730" s="1357"/>
      <c r="DO730" s="1357">
        <f t="shared" si="23"/>
        <v>0</v>
      </c>
      <c r="DP730" s="1357"/>
      <c r="DQ730" s="1357"/>
      <c r="DR730" s="1357"/>
      <c r="DS730" s="1357"/>
      <c r="DT730" s="6"/>
      <c r="DU730" s="1371">
        <f t="shared" si="24"/>
        <v>0</v>
      </c>
      <c r="DV730" s="1371"/>
      <c r="DW730" s="1371"/>
      <c r="DX730" s="1371"/>
      <c r="DY730" s="1371"/>
      <c r="DZ730" s="1371">
        <f t="shared" si="25"/>
        <v>0</v>
      </c>
      <c r="EA730" s="1371"/>
      <c r="EB730" s="1371"/>
      <c r="EC730" s="1371"/>
      <c r="ED730" s="1371"/>
      <c r="EE730" s="1371">
        <f t="shared" si="26"/>
        <v>0</v>
      </c>
      <c r="EF730" s="1371"/>
      <c r="EG730" s="1371"/>
      <c r="EH730" s="1371"/>
      <c r="EI730" s="1371"/>
      <c r="EJ730" s="1371">
        <f t="shared" si="27"/>
        <v>0</v>
      </c>
      <c r="EK730" s="1371"/>
      <c r="EL730" s="1371"/>
      <c r="EM730" s="1371"/>
      <c r="EN730" s="1371"/>
      <c r="EO730" s="1371">
        <f t="shared" si="28"/>
        <v>0</v>
      </c>
      <c r="EP730" s="1371"/>
      <c r="EQ730" s="1371"/>
      <c r="ER730" s="1371"/>
      <c r="ES730" s="1371"/>
      <c r="ET730" s="1371">
        <f t="shared" si="29"/>
        <v>0</v>
      </c>
      <c r="EU730" s="1371"/>
      <c r="EV730" s="1371"/>
      <c r="EW730" s="1371"/>
      <c r="EX730" s="1371"/>
      <c r="EZ730" s="1354" t="str">
        <f t="shared" si="30"/>
        <v/>
      </c>
      <c r="FA730" s="1355"/>
      <c r="FB730" s="1355"/>
      <c r="FC730" s="1355"/>
      <c r="FD730" s="1356"/>
      <c r="FE730" s="1354" t="str">
        <f t="shared" si="31"/>
        <v/>
      </c>
      <c r="FF730" s="1355"/>
      <c r="FG730" s="1355"/>
      <c r="FH730" s="1355"/>
      <c r="FI730" s="1356"/>
      <c r="FJ730" s="1354" t="str">
        <f t="shared" si="32"/>
        <v/>
      </c>
      <c r="FK730" s="1355"/>
      <c r="FL730" s="1355"/>
      <c r="FM730" s="1355"/>
      <c r="FN730" s="1356"/>
      <c r="FO730" s="1354" t="str">
        <f t="shared" si="33"/>
        <v/>
      </c>
      <c r="FP730" s="1355"/>
      <c r="FQ730" s="1355"/>
      <c r="FR730" s="1355"/>
      <c r="FS730" s="1356"/>
      <c r="FT730" s="1354" t="str">
        <f t="shared" si="34"/>
        <v/>
      </c>
      <c r="FU730" s="1355"/>
      <c r="FV730" s="1355"/>
      <c r="FW730" s="1355"/>
      <c r="FX730" s="1356"/>
      <c r="FY730" s="1354" t="str">
        <f t="shared" si="35"/>
        <v/>
      </c>
      <c r="FZ730" s="1355"/>
      <c r="GA730" s="1355"/>
      <c r="GB730" s="1355"/>
      <c r="GC730" s="1356"/>
    </row>
    <row r="731" spans="1:185" ht="13" customHeight="1">
      <c r="B731" s="1358"/>
      <c r="C731" s="1359"/>
      <c r="D731" s="1359"/>
      <c r="E731" s="1359"/>
      <c r="F731" s="1360"/>
      <c r="G731" s="1367"/>
      <c r="H731" s="1368"/>
      <c r="I731" s="1368"/>
      <c r="J731" s="1369"/>
      <c r="K731" s="1608"/>
      <c r="L731" s="1609"/>
      <c r="M731" s="1609"/>
      <c r="N731" s="1610"/>
      <c r="O731" s="1471"/>
      <c r="P731" s="1472"/>
      <c r="Q731" s="1472"/>
      <c r="R731" s="1472"/>
      <c r="S731" s="1473"/>
      <c r="T731" s="1471"/>
      <c r="U731" s="1472"/>
      <c r="V731" s="1472"/>
      <c r="W731" s="1473"/>
      <c r="X731" s="1361">
        <f t="shared" si="8"/>
        <v>0</v>
      </c>
      <c r="Y731" s="1362"/>
      <c r="Z731" s="1362"/>
      <c r="AA731" s="1362"/>
      <c r="AB731" s="1363"/>
      <c r="AC731" s="1618"/>
      <c r="AD731" s="1619"/>
      <c r="AE731" s="1619"/>
      <c r="AF731" s="1619"/>
      <c r="AG731" s="1620"/>
      <c r="AH731" s="1364" t="str">
        <f t="shared" si="36"/>
        <v/>
      </c>
      <c r="AI731" s="1365"/>
      <c r="AJ731" s="1366"/>
      <c r="AK731" s="1358" t="s">
        <v>592</v>
      </c>
      <c r="AL731" s="1359"/>
      <c r="AM731" s="1359"/>
      <c r="AN731" s="1359"/>
      <c r="AO731" s="1360"/>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4">
        <f t="shared" si="37"/>
        <v>0</v>
      </c>
      <c r="CH731" s="1356"/>
      <c r="CI731" s="1338">
        <f t="shared" si="38"/>
        <v>0</v>
      </c>
      <c r="CJ731" s="1340"/>
      <c r="CK731" s="1354">
        <f t="shared" si="16"/>
        <v>0</v>
      </c>
      <c r="CL731" s="1356"/>
      <c r="CM731" s="1338">
        <f t="shared" si="17"/>
        <v>0</v>
      </c>
      <c r="CN731" s="1340"/>
      <c r="CO731" s="3"/>
      <c r="CP731" s="1335">
        <f t="shared" si="18"/>
        <v>0</v>
      </c>
      <c r="CQ731" s="1336"/>
      <c r="CR731" s="1336"/>
      <c r="CS731" s="1336"/>
      <c r="CT731" s="1337"/>
      <c r="CU731" s="1357">
        <f t="shared" si="19"/>
        <v>0</v>
      </c>
      <c r="CV731" s="1357"/>
      <c r="CW731" s="1357"/>
      <c r="CX731" s="1357"/>
      <c r="CY731" s="1357"/>
      <c r="CZ731" s="1357">
        <f t="shared" si="20"/>
        <v>0</v>
      </c>
      <c r="DA731" s="1357"/>
      <c r="DB731" s="1357"/>
      <c r="DC731" s="1357"/>
      <c r="DD731" s="1357"/>
      <c r="DE731" s="1357">
        <f t="shared" si="21"/>
        <v>0</v>
      </c>
      <c r="DF731" s="1357"/>
      <c r="DG731" s="1357"/>
      <c r="DH731" s="1357"/>
      <c r="DI731" s="1357"/>
      <c r="DJ731" s="1357">
        <f t="shared" si="22"/>
        <v>0</v>
      </c>
      <c r="DK731" s="1357"/>
      <c r="DL731" s="1357"/>
      <c r="DM731" s="1357"/>
      <c r="DN731" s="1357"/>
      <c r="DO731" s="1357">
        <f t="shared" si="23"/>
        <v>0</v>
      </c>
      <c r="DP731" s="1357"/>
      <c r="DQ731" s="1357"/>
      <c r="DR731" s="1357"/>
      <c r="DS731" s="1357"/>
      <c r="DT731" s="6"/>
      <c r="DU731" s="1371">
        <f t="shared" si="24"/>
        <v>0</v>
      </c>
      <c r="DV731" s="1371"/>
      <c r="DW731" s="1371"/>
      <c r="DX731" s="1371"/>
      <c r="DY731" s="1371"/>
      <c r="DZ731" s="1371">
        <f t="shared" si="25"/>
        <v>0</v>
      </c>
      <c r="EA731" s="1371"/>
      <c r="EB731" s="1371"/>
      <c r="EC731" s="1371"/>
      <c r="ED731" s="1371"/>
      <c r="EE731" s="1371">
        <f t="shared" si="26"/>
        <v>0</v>
      </c>
      <c r="EF731" s="1371"/>
      <c r="EG731" s="1371"/>
      <c r="EH731" s="1371"/>
      <c r="EI731" s="1371"/>
      <c r="EJ731" s="1371">
        <f t="shared" si="27"/>
        <v>0</v>
      </c>
      <c r="EK731" s="1371"/>
      <c r="EL731" s="1371"/>
      <c r="EM731" s="1371"/>
      <c r="EN731" s="1371"/>
      <c r="EO731" s="1371">
        <f t="shared" si="28"/>
        <v>0</v>
      </c>
      <c r="EP731" s="1371"/>
      <c r="EQ731" s="1371"/>
      <c r="ER731" s="1371"/>
      <c r="ES731" s="1371"/>
      <c r="ET731" s="1371">
        <f t="shared" si="29"/>
        <v>0</v>
      </c>
      <c r="EU731" s="1371"/>
      <c r="EV731" s="1371"/>
      <c r="EW731" s="1371"/>
      <c r="EX731" s="1371"/>
      <c r="EZ731" s="1354" t="str">
        <f t="shared" si="30"/>
        <v/>
      </c>
      <c r="FA731" s="1355"/>
      <c r="FB731" s="1355"/>
      <c r="FC731" s="1355"/>
      <c r="FD731" s="1356"/>
      <c r="FE731" s="1354" t="str">
        <f t="shared" si="31"/>
        <v/>
      </c>
      <c r="FF731" s="1355"/>
      <c r="FG731" s="1355"/>
      <c r="FH731" s="1355"/>
      <c r="FI731" s="1356"/>
      <c r="FJ731" s="1354" t="str">
        <f t="shared" si="32"/>
        <v/>
      </c>
      <c r="FK731" s="1355"/>
      <c r="FL731" s="1355"/>
      <c r="FM731" s="1355"/>
      <c r="FN731" s="1356"/>
      <c r="FO731" s="1354" t="str">
        <f t="shared" si="33"/>
        <v/>
      </c>
      <c r="FP731" s="1355"/>
      <c r="FQ731" s="1355"/>
      <c r="FR731" s="1355"/>
      <c r="FS731" s="1356"/>
      <c r="FT731" s="1354" t="str">
        <f t="shared" si="34"/>
        <v/>
      </c>
      <c r="FU731" s="1355"/>
      <c r="FV731" s="1355"/>
      <c r="FW731" s="1355"/>
      <c r="FX731" s="1356"/>
      <c r="FY731" s="1354" t="str">
        <f t="shared" si="35"/>
        <v/>
      </c>
      <c r="FZ731" s="1355"/>
      <c r="GA731" s="1355"/>
      <c r="GB731" s="1355"/>
      <c r="GC731" s="1356"/>
    </row>
    <row r="732" spans="1:185" ht="13" customHeight="1">
      <c r="B732" s="1358"/>
      <c r="C732" s="1359"/>
      <c r="D732" s="1359"/>
      <c r="E732" s="1359"/>
      <c r="F732" s="1360"/>
      <c r="G732" s="1367"/>
      <c r="H732" s="1368"/>
      <c r="I732" s="1368"/>
      <c r="J732" s="1369"/>
      <c r="K732" s="1608"/>
      <c r="L732" s="1609"/>
      <c r="M732" s="1609"/>
      <c r="N732" s="1610"/>
      <c r="O732" s="1471"/>
      <c r="P732" s="1472"/>
      <c r="Q732" s="1472"/>
      <c r="R732" s="1472"/>
      <c r="S732" s="1473"/>
      <c r="T732" s="1471"/>
      <c r="U732" s="1472"/>
      <c r="V732" s="1472"/>
      <c r="W732" s="1473"/>
      <c r="X732" s="1361">
        <f t="shared" si="8"/>
        <v>0</v>
      </c>
      <c r="Y732" s="1362"/>
      <c r="Z732" s="1362"/>
      <c r="AA732" s="1362"/>
      <c r="AB732" s="1363"/>
      <c r="AC732" s="1618"/>
      <c r="AD732" s="1619"/>
      <c r="AE732" s="1619"/>
      <c r="AF732" s="1619"/>
      <c r="AG732" s="1620"/>
      <c r="AH732" s="1364" t="str">
        <f t="shared" si="36"/>
        <v/>
      </c>
      <c r="AI732" s="1365"/>
      <c r="AJ732" s="1366"/>
      <c r="AK732" s="1358" t="s">
        <v>592</v>
      </c>
      <c r="AL732" s="1359"/>
      <c r="AM732" s="1359"/>
      <c r="AN732" s="1359"/>
      <c r="AO732" s="136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4">
        <f t="shared" si="37"/>
        <v>0</v>
      </c>
      <c r="CH732" s="1356"/>
      <c r="CI732" s="1338">
        <f t="shared" si="38"/>
        <v>0</v>
      </c>
      <c r="CJ732" s="1340"/>
      <c r="CK732" s="1354">
        <f t="shared" si="16"/>
        <v>0</v>
      </c>
      <c r="CL732" s="1356"/>
      <c r="CM732" s="1338">
        <f t="shared" si="17"/>
        <v>0</v>
      </c>
      <c r="CN732" s="1340"/>
      <c r="CO732" s="3"/>
      <c r="CP732" s="1335">
        <f t="shared" si="18"/>
        <v>0</v>
      </c>
      <c r="CQ732" s="1336"/>
      <c r="CR732" s="1336"/>
      <c r="CS732" s="1336"/>
      <c r="CT732" s="1337"/>
      <c r="CU732" s="1357">
        <f t="shared" si="19"/>
        <v>0</v>
      </c>
      <c r="CV732" s="1357"/>
      <c r="CW732" s="1357"/>
      <c r="CX732" s="1357"/>
      <c r="CY732" s="1357"/>
      <c r="CZ732" s="1357">
        <f t="shared" si="20"/>
        <v>0</v>
      </c>
      <c r="DA732" s="1357"/>
      <c r="DB732" s="1357"/>
      <c r="DC732" s="1357"/>
      <c r="DD732" s="1357"/>
      <c r="DE732" s="1357">
        <f t="shared" si="21"/>
        <v>0</v>
      </c>
      <c r="DF732" s="1357"/>
      <c r="DG732" s="1357"/>
      <c r="DH732" s="1357"/>
      <c r="DI732" s="1357"/>
      <c r="DJ732" s="1357">
        <f t="shared" si="22"/>
        <v>0</v>
      </c>
      <c r="DK732" s="1357"/>
      <c r="DL732" s="1357"/>
      <c r="DM732" s="1357"/>
      <c r="DN732" s="1357"/>
      <c r="DO732" s="1357">
        <f t="shared" si="23"/>
        <v>0</v>
      </c>
      <c r="DP732" s="1357"/>
      <c r="DQ732" s="1357"/>
      <c r="DR732" s="1357"/>
      <c r="DS732" s="1357"/>
      <c r="DT732" s="6"/>
      <c r="DU732" s="1371">
        <f t="shared" si="24"/>
        <v>0</v>
      </c>
      <c r="DV732" s="1371"/>
      <c r="DW732" s="1371"/>
      <c r="DX732" s="1371"/>
      <c r="DY732" s="1371"/>
      <c r="DZ732" s="1371">
        <f t="shared" si="25"/>
        <v>0</v>
      </c>
      <c r="EA732" s="1371"/>
      <c r="EB732" s="1371"/>
      <c r="EC732" s="1371"/>
      <c r="ED732" s="1371"/>
      <c r="EE732" s="1371">
        <f t="shared" si="26"/>
        <v>0</v>
      </c>
      <c r="EF732" s="1371"/>
      <c r="EG732" s="1371"/>
      <c r="EH732" s="1371"/>
      <c r="EI732" s="1371"/>
      <c r="EJ732" s="1371">
        <f t="shared" si="27"/>
        <v>0</v>
      </c>
      <c r="EK732" s="1371"/>
      <c r="EL732" s="1371"/>
      <c r="EM732" s="1371"/>
      <c r="EN732" s="1371"/>
      <c r="EO732" s="1371">
        <f t="shared" si="28"/>
        <v>0</v>
      </c>
      <c r="EP732" s="1371"/>
      <c r="EQ732" s="1371"/>
      <c r="ER732" s="1371"/>
      <c r="ES732" s="1371"/>
      <c r="ET732" s="1371">
        <f t="shared" si="29"/>
        <v>0</v>
      </c>
      <c r="EU732" s="1371"/>
      <c r="EV732" s="1371"/>
      <c r="EW732" s="1371"/>
      <c r="EX732" s="1371"/>
      <c r="EZ732" s="1354" t="str">
        <f t="shared" si="30"/>
        <v/>
      </c>
      <c r="FA732" s="1355"/>
      <c r="FB732" s="1355"/>
      <c r="FC732" s="1355"/>
      <c r="FD732" s="1356"/>
      <c r="FE732" s="1354" t="str">
        <f t="shared" si="31"/>
        <v/>
      </c>
      <c r="FF732" s="1355"/>
      <c r="FG732" s="1355"/>
      <c r="FH732" s="1355"/>
      <c r="FI732" s="1356"/>
      <c r="FJ732" s="1354" t="str">
        <f t="shared" si="32"/>
        <v/>
      </c>
      <c r="FK732" s="1355"/>
      <c r="FL732" s="1355"/>
      <c r="FM732" s="1355"/>
      <c r="FN732" s="1356"/>
      <c r="FO732" s="1354" t="str">
        <f t="shared" si="33"/>
        <v/>
      </c>
      <c r="FP732" s="1355"/>
      <c r="FQ732" s="1355"/>
      <c r="FR732" s="1355"/>
      <c r="FS732" s="1356"/>
      <c r="FT732" s="1354" t="str">
        <f t="shared" si="34"/>
        <v/>
      </c>
      <c r="FU732" s="1355"/>
      <c r="FV732" s="1355"/>
      <c r="FW732" s="1355"/>
      <c r="FX732" s="1356"/>
      <c r="FY732" s="1354" t="str">
        <f t="shared" si="35"/>
        <v/>
      </c>
      <c r="FZ732" s="1355"/>
      <c r="GA732" s="1355"/>
      <c r="GB732" s="1355"/>
      <c r="GC732" s="1356"/>
    </row>
    <row r="733" spans="1:185" ht="13" customHeight="1">
      <c r="B733" s="1358"/>
      <c r="C733" s="1359"/>
      <c r="D733" s="1359"/>
      <c r="E733" s="1359"/>
      <c r="F733" s="1360"/>
      <c r="G733" s="1367"/>
      <c r="H733" s="1368"/>
      <c r="I733" s="1368"/>
      <c r="J733" s="1369"/>
      <c r="K733" s="1608"/>
      <c r="L733" s="1609"/>
      <c r="M733" s="1609"/>
      <c r="N733" s="1610"/>
      <c r="O733" s="1471"/>
      <c r="P733" s="1472"/>
      <c r="Q733" s="1472"/>
      <c r="R733" s="1472"/>
      <c r="S733" s="1473"/>
      <c r="T733" s="1471"/>
      <c r="U733" s="1472"/>
      <c r="V733" s="1472"/>
      <c r="W733" s="1473"/>
      <c r="X733" s="1361">
        <f t="shared" si="8"/>
        <v>0</v>
      </c>
      <c r="Y733" s="1362"/>
      <c r="Z733" s="1362"/>
      <c r="AA733" s="1362"/>
      <c r="AB733" s="1363"/>
      <c r="AC733" s="1618"/>
      <c r="AD733" s="1619"/>
      <c r="AE733" s="1619"/>
      <c r="AF733" s="1619"/>
      <c r="AG733" s="1620"/>
      <c r="AH733" s="1364" t="str">
        <f t="shared" si="36"/>
        <v/>
      </c>
      <c r="AI733" s="1365"/>
      <c r="AJ733" s="1366"/>
      <c r="AK733" s="1358" t="s">
        <v>592</v>
      </c>
      <c r="AL733" s="1359"/>
      <c r="AM733" s="1359"/>
      <c r="AN733" s="1359"/>
      <c r="AO733" s="136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4">
        <f t="shared" si="37"/>
        <v>0</v>
      </c>
      <c r="CH733" s="1356"/>
      <c r="CI733" s="1338">
        <f t="shared" si="38"/>
        <v>0</v>
      </c>
      <c r="CJ733" s="1340"/>
      <c r="CK733" s="1354">
        <f t="shared" si="16"/>
        <v>0</v>
      </c>
      <c r="CL733" s="1356"/>
      <c r="CM733" s="1338">
        <f t="shared" si="17"/>
        <v>0</v>
      </c>
      <c r="CN733" s="1340"/>
      <c r="CO733" s="3"/>
      <c r="CP733" s="1335">
        <f t="shared" si="18"/>
        <v>0</v>
      </c>
      <c r="CQ733" s="1336"/>
      <c r="CR733" s="1336"/>
      <c r="CS733" s="1336"/>
      <c r="CT733" s="1337"/>
      <c r="CU733" s="1357">
        <f t="shared" si="19"/>
        <v>0</v>
      </c>
      <c r="CV733" s="1357"/>
      <c r="CW733" s="1357"/>
      <c r="CX733" s="1357"/>
      <c r="CY733" s="1357"/>
      <c r="CZ733" s="1357">
        <f t="shared" si="20"/>
        <v>0</v>
      </c>
      <c r="DA733" s="1357"/>
      <c r="DB733" s="1357"/>
      <c r="DC733" s="1357"/>
      <c r="DD733" s="1357"/>
      <c r="DE733" s="1357">
        <f t="shared" si="21"/>
        <v>0</v>
      </c>
      <c r="DF733" s="1357"/>
      <c r="DG733" s="1357"/>
      <c r="DH733" s="1357"/>
      <c r="DI733" s="1357"/>
      <c r="DJ733" s="1357">
        <f t="shared" si="22"/>
        <v>0</v>
      </c>
      <c r="DK733" s="1357"/>
      <c r="DL733" s="1357"/>
      <c r="DM733" s="1357"/>
      <c r="DN733" s="1357"/>
      <c r="DO733" s="1357">
        <f t="shared" si="23"/>
        <v>0</v>
      </c>
      <c r="DP733" s="1357"/>
      <c r="DQ733" s="1357"/>
      <c r="DR733" s="1357"/>
      <c r="DS733" s="1357"/>
      <c r="DT733" s="6"/>
      <c r="DU733" s="1371">
        <f t="shared" si="24"/>
        <v>0</v>
      </c>
      <c r="DV733" s="1371"/>
      <c r="DW733" s="1371"/>
      <c r="DX733" s="1371"/>
      <c r="DY733" s="1371"/>
      <c r="DZ733" s="1371">
        <f t="shared" si="25"/>
        <v>0</v>
      </c>
      <c r="EA733" s="1371"/>
      <c r="EB733" s="1371"/>
      <c r="EC733" s="1371"/>
      <c r="ED733" s="1371"/>
      <c r="EE733" s="1371">
        <f t="shared" si="26"/>
        <v>0</v>
      </c>
      <c r="EF733" s="1371"/>
      <c r="EG733" s="1371"/>
      <c r="EH733" s="1371"/>
      <c r="EI733" s="1371"/>
      <c r="EJ733" s="1371">
        <f t="shared" si="27"/>
        <v>0</v>
      </c>
      <c r="EK733" s="1371"/>
      <c r="EL733" s="1371"/>
      <c r="EM733" s="1371"/>
      <c r="EN733" s="1371"/>
      <c r="EO733" s="1371">
        <f t="shared" si="28"/>
        <v>0</v>
      </c>
      <c r="EP733" s="1371"/>
      <c r="EQ733" s="1371"/>
      <c r="ER733" s="1371"/>
      <c r="ES733" s="1371"/>
      <c r="ET733" s="1371">
        <f t="shared" si="29"/>
        <v>0</v>
      </c>
      <c r="EU733" s="1371"/>
      <c r="EV733" s="1371"/>
      <c r="EW733" s="1371"/>
      <c r="EX733" s="1371"/>
      <c r="EZ733" s="1354" t="str">
        <f t="shared" si="30"/>
        <v/>
      </c>
      <c r="FA733" s="1355"/>
      <c r="FB733" s="1355"/>
      <c r="FC733" s="1355"/>
      <c r="FD733" s="1356"/>
      <c r="FE733" s="1354" t="str">
        <f t="shared" si="31"/>
        <v/>
      </c>
      <c r="FF733" s="1355"/>
      <c r="FG733" s="1355"/>
      <c r="FH733" s="1355"/>
      <c r="FI733" s="1356"/>
      <c r="FJ733" s="1354" t="str">
        <f t="shared" si="32"/>
        <v/>
      </c>
      <c r="FK733" s="1355"/>
      <c r="FL733" s="1355"/>
      <c r="FM733" s="1355"/>
      <c r="FN733" s="1356"/>
      <c r="FO733" s="1354" t="str">
        <f t="shared" si="33"/>
        <v/>
      </c>
      <c r="FP733" s="1355"/>
      <c r="FQ733" s="1355"/>
      <c r="FR733" s="1355"/>
      <c r="FS733" s="1356"/>
      <c r="FT733" s="1354" t="str">
        <f t="shared" si="34"/>
        <v/>
      </c>
      <c r="FU733" s="1355"/>
      <c r="FV733" s="1355"/>
      <c r="FW733" s="1355"/>
      <c r="FX733" s="1356"/>
      <c r="FY733" s="1354" t="str">
        <f t="shared" si="35"/>
        <v/>
      </c>
      <c r="FZ733" s="1355"/>
      <c r="GA733" s="1355"/>
      <c r="GB733" s="1355"/>
      <c r="GC733" s="1356"/>
    </row>
    <row r="734" spans="1:185" ht="13" customHeight="1">
      <c r="B734" s="1358"/>
      <c r="C734" s="1359"/>
      <c r="D734" s="1359"/>
      <c r="E734" s="1359"/>
      <c r="F734" s="1360"/>
      <c r="G734" s="1367"/>
      <c r="H734" s="1368"/>
      <c r="I734" s="1368"/>
      <c r="J734" s="1369"/>
      <c r="K734" s="1608"/>
      <c r="L734" s="1609"/>
      <c r="M734" s="1609"/>
      <c r="N734" s="1610"/>
      <c r="O734" s="1471"/>
      <c r="P734" s="1472"/>
      <c r="Q734" s="1472"/>
      <c r="R734" s="1472"/>
      <c r="S734" s="1473"/>
      <c r="T734" s="1471"/>
      <c r="U734" s="1472"/>
      <c r="V734" s="1472"/>
      <c r="W734" s="1473"/>
      <c r="X734" s="1361">
        <f t="shared" si="8"/>
        <v>0</v>
      </c>
      <c r="Y734" s="1362"/>
      <c r="Z734" s="1362"/>
      <c r="AA734" s="1362"/>
      <c r="AB734" s="1363"/>
      <c r="AC734" s="1618"/>
      <c r="AD734" s="1619"/>
      <c r="AE734" s="1619"/>
      <c r="AF734" s="1619"/>
      <c r="AG734" s="1620"/>
      <c r="AH734" s="1364" t="str">
        <f t="shared" si="36"/>
        <v/>
      </c>
      <c r="AI734" s="1365"/>
      <c r="AJ734" s="1366"/>
      <c r="AK734" s="1358" t="s">
        <v>592</v>
      </c>
      <c r="AL734" s="1359"/>
      <c r="AM734" s="1359"/>
      <c r="AN734" s="1359"/>
      <c r="AO734" s="136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4">
        <f t="shared" si="37"/>
        <v>0</v>
      </c>
      <c r="CH734" s="1356"/>
      <c r="CI734" s="1338">
        <f t="shared" si="38"/>
        <v>0</v>
      </c>
      <c r="CJ734" s="1340"/>
      <c r="CK734" s="1354">
        <f t="shared" si="16"/>
        <v>0</v>
      </c>
      <c r="CL734" s="1356"/>
      <c r="CM734" s="1338">
        <f t="shared" si="17"/>
        <v>0</v>
      </c>
      <c r="CN734" s="1340"/>
      <c r="CO734" s="3"/>
      <c r="CP734" s="1335">
        <f t="shared" si="18"/>
        <v>0</v>
      </c>
      <c r="CQ734" s="1336"/>
      <c r="CR734" s="1336"/>
      <c r="CS734" s="1336"/>
      <c r="CT734" s="1337"/>
      <c r="CU734" s="1357">
        <f t="shared" si="19"/>
        <v>0</v>
      </c>
      <c r="CV734" s="1357"/>
      <c r="CW734" s="1357"/>
      <c r="CX734" s="1357"/>
      <c r="CY734" s="1357"/>
      <c r="CZ734" s="1357">
        <f t="shared" si="20"/>
        <v>0</v>
      </c>
      <c r="DA734" s="1357"/>
      <c r="DB734" s="1357"/>
      <c r="DC734" s="1357"/>
      <c r="DD734" s="1357"/>
      <c r="DE734" s="1357">
        <f t="shared" si="21"/>
        <v>0</v>
      </c>
      <c r="DF734" s="1357"/>
      <c r="DG734" s="1357"/>
      <c r="DH734" s="1357"/>
      <c r="DI734" s="1357"/>
      <c r="DJ734" s="1357">
        <f t="shared" si="22"/>
        <v>0</v>
      </c>
      <c r="DK734" s="1357"/>
      <c r="DL734" s="1357"/>
      <c r="DM734" s="1357"/>
      <c r="DN734" s="1357"/>
      <c r="DO734" s="1357">
        <f t="shared" si="23"/>
        <v>0</v>
      </c>
      <c r="DP734" s="1357"/>
      <c r="DQ734" s="1357"/>
      <c r="DR734" s="1357"/>
      <c r="DS734" s="1357"/>
      <c r="DT734" s="6"/>
      <c r="DU734" s="1371">
        <f t="shared" si="24"/>
        <v>0</v>
      </c>
      <c r="DV734" s="1371"/>
      <c r="DW734" s="1371"/>
      <c r="DX734" s="1371"/>
      <c r="DY734" s="1371"/>
      <c r="DZ734" s="1371">
        <f t="shared" si="25"/>
        <v>0</v>
      </c>
      <c r="EA734" s="1371"/>
      <c r="EB734" s="1371"/>
      <c r="EC734" s="1371"/>
      <c r="ED734" s="1371"/>
      <c r="EE734" s="1371">
        <f t="shared" si="26"/>
        <v>0</v>
      </c>
      <c r="EF734" s="1371"/>
      <c r="EG734" s="1371"/>
      <c r="EH734" s="1371"/>
      <c r="EI734" s="1371"/>
      <c r="EJ734" s="1371">
        <f t="shared" si="27"/>
        <v>0</v>
      </c>
      <c r="EK734" s="1371"/>
      <c r="EL734" s="1371"/>
      <c r="EM734" s="1371"/>
      <c r="EN734" s="1371"/>
      <c r="EO734" s="1371">
        <f t="shared" si="28"/>
        <v>0</v>
      </c>
      <c r="EP734" s="1371"/>
      <c r="EQ734" s="1371"/>
      <c r="ER734" s="1371"/>
      <c r="ES734" s="1371"/>
      <c r="ET734" s="1371">
        <f t="shared" si="29"/>
        <v>0</v>
      </c>
      <c r="EU734" s="1371"/>
      <c r="EV734" s="1371"/>
      <c r="EW734" s="1371"/>
      <c r="EX734" s="1371"/>
      <c r="EZ734" s="1354" t="str">
        <f t="shared" si="30"/>
        <v/>
      </c>
      <c r="FA734" s="1355"/>
      <c r="FB734" s="1355"/>
      <c r="FC734" s="1355"/>
      <c r="FD734" s="1356"/>
      <c r="FE734" s="1354" t="str">
        <f t="shared" si="31"/>
        <v/>
      </c>
      <c r="FF734" s="1355"/>
      <c r="FG734" s="1355"/>
      <c r="FH734" s="1355"/>
      <c r="FI734" s="1356"/>
      <c r="FJ734" s="1354" t="str">
        <f t="shared" si="32"/>
        <v/>
      </c>
      <c r="FK734" s="1355"/>
      <c r="FL734" s="1355"/>
      <c r="FM734" s="1355"/>
      <c r="FN734" s="1356"/>
      <c r="FO734" s="1354" t="str">
        <f t="shared" si="33"/>
        <v/>
      </c>
      <c r="FP734" s="1355"/>
      <c r="FQ734" s="1355"/>
      <c r="FR734" s="1355"/>
      <c r="FS734" s="1356"/>
      <c r="FT734" s="1354" t="str">
        <f t="shared" si="34"/>
        <v/>
      </c>
      <c r="FU734" s="1355"/>
      <c r="FV734" s="1355"/>
      <c r="FW734" s="1355"/>
      <c r="FX734" s="1356"/>
      <c r="FY734" s="1354" t="str">
        <f t="shared" si="35"/>
        <v/>
      </c>
      <c r="FZ734" s="1355"/>
      <c r="GA734" s="1355"/>
      <c r="GB734" s="1355"/>
      <c r="GC734" s="1356"/>
    </row>
    <row r="735" spans="1:185" ht="13" customHeight="1">
      <c r="B735" s="1358"/>
      <c r="C735" s="1359"/>
      <c r="D735" s="1359"/>
      <c r="E735" s="1359"/>
      <c r="F735" s="1360"/>
      <c r="G735" s="1367"/>
      <c r="H735" s="1368"/>
      <c r="I735" s="1368"/>
      <c r="J735" s="1369"/>
      <c r="K735" s="1608"/>
      <c r="L735" s="1609"/>
      <c r="M735" s="1609"/>
      <c r="N735" s="1610"/>
      <c r="O735" s="1471"/>
      <c r="P735" s="1472"/>
      <c r="Q735" s="1472"/>
      <c r="R735" s="1472"/>
      <c r="S735" s="1473"/>
      <c r="T735" s="1471"/>
      <c r="U735" s="1472"/>
      <c r="V735" s="1472"/>
      <c r="W735" s="1473"/>
      <c r="X735" s="1361">
        <f t="shared" si="8"/>
        <v>0</v>
      </c>
      <c r="Y735" s="1362"/>
      <c r="Z735" s="1362"/>
      <c r="AA735" s="1362"/>
      <c r="AB735" s="1363"/>
      <c r="AC735" s="1618"/>
      <c r="AD735" s="1619"/>
      <c r="AE735" s="1619"/>
      <c r="AF735" s="1619"/>
      <c r="AG735" s="1620"/>
      <c r="AH735" s="1364" t="str">
        <f t="shared" si="36"/>
        <v/>
      </c>
      <c r="AI735" s="1365"/>
      <c r="AJ735" s="1366"/>
      <c r="AK735" s="1358" t="s">
        <v>592</v>
      </c>
      <c r="AL735" s="1359"/>
      <c r="AM735" s="1359"/>
      <c r="AN735" s="1359"/>
      <c r="AO735" s="136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4">
        <f t="shared" si="37"/>
        <v>0</v>
      </c>
      <c r="CH735" s="1356"/>
      <c r="CI735" s="1338">
        <f t="shared" si="38"/>
        <v>0</v>
      </c>
      <c r="CJ735" s="1340"/>
      <c r="CK735" s="1354">
        <f t="shared" si="16"/>
        <v>0</v>
      </c>
      <c r="CL735" s="1356"/>
      <c r="CM735" s="1338">
        <f t="shared" si="17"/>
        <v>0</v>
      </c>
      <c r="CN735" s="1340"/>
      <c r="CO735" s="3"/>
      <c r="CP735" s="1335">
        <f t="shared" si="18"/>
        <v>0</v>
      </c>
      <c r="CQ735" s="1336"/>
      <c r="CR735" s="1336"/>
      <c r="CS735" s="1336"/>
      <c r="CT735" s="1337"/>
      <c r="CU735" s="1357">
        <f t="shared" si="19"/>
        <v>0</v>
      </c>
      <c r="CV735" s="1357"/>
      <c r="CW735" s="1357"/>
      <c r="CX735" s="1357"/>
      <c r="CY735" s="1357"/>
      <c r="CZ735" s="1357">
        <f t="shared" si="20"/>
        <v>0</v>
      </c>
      <c r="DA735" s="1357"/>
      <c r="DB735" s="1357"/>
      <c r="DC735" s="1357"/>
      <c r="DD735" s="1357"/>
      <c r="DE735" s="1357">
        <f t="shared" si="21"/>
        <v>0</v>
      </c>
      <c r="DF735" s="1357"/>
      <c r="DG735" s="1357"/>
      <c r="DH735" s="1357"/>
      <c r="DI735" s="1357"/>
      <c r="DJ735" s="1357">
        <f t="shared" si="22"/>
        <v>0</v>
      </c>
      <c r="DK735" s="1357"/>
      <c r="DL735" s="1357"/>
      <c r="DM735" s="1357"/>
      <c r="DN735" s="1357"/>
      <c r="DO735" s="1357">
        <f t="shared" si="23"/>
        <v>0</v>
      </c>
      <c r="DP735" s="1357"/>
      <c r="DQ735" s="1357"/>
      <c r="DR735" s="1357"/>
      <c r="DS735" s="1357"/>
      <c r="DT735" s="6"/>
      <c r="DU735" s="1371">
        <f t="shared" si="24"/>
        <v>0</v>
      </c>
      <c r="DV735" s="1371"/>
      <c r="DW735" s="1371"/>
      <c r="DX735" s="1371"/>
      <c r="DY735" s="1371"/>
      <c r="DZ735" s="1371">
        <f t="shared" si="25"/>
        <v>0</v>
      </c>
      <c r="EA735" s="1371"/>
      <c r="EB735" s="1371"/>
      <c r="EC735" s="1371"/>
      <c r="ED735" s="1371"/>
      <c r="EE735" s="1371">
        <f t="shared" si="26"/>
        <v>0</v>
      </c>
      <c r="EF735" s="1371"/>
      <c r="EG735" s="1371"/>
      <c r="EH735" s="1371"/>
      <c r="EI735" s="1371"/>
      <c r="EJ735" s="1371">
        <f t="shared" si="27"/>
        <v>0</v>
      </c>
      <c r="EK735" s="1371"/>
      <c r="EL735" s="1371"/>
      <c r="EM735" s="1371"/>
      <c r="EN735" s="1371"/>
      <c r="EO735" s="1371">
        <f t="shared" si="28"/>
        <v>0</v>
      </c>
      <c r="EP735" s="1371"/>
      <c r="EQ735" s="1371"/>
      <c r="ER735" s="1371"/>
      <c r="ES735" s="1371"/>
      <c r="ET735" s="1371">
        <f t="shared" si="29"/>
        <v>0</v>
      </c>
      <c r="EU735" s="1371"/>
      <c r="EV735" s="1371"/>
      <c r="EW735" s="1371"/>
      <c r="EX735" s="1371"/>
      <c r="EZ735" s="1354" t="str">
        <f t="shared" si="30"/>
        <v/>
      </c>
      <c r="FA735" s="1355"/>
      <c r="FB735" s="1355"/>
      <c r="FC735" s="1355"/>
      <c r="FD735" s="1356"/>
      <c r="FE735" s="1354" t="str">
        <f t="shared" si="31"/>
        <v/>
      </c>
      <c r="FF735" s="1355"/>
      <c r="FG735" s="1355"/>
      <c r="FH735" s="1355"/>
      <c r="FI735" s="1356"/>
      <c r="FJ735" s="1354" t="str">
        <f t="shared" si="32"/>
        <v/>
      </c>
      <c r="FK735" s="1355"/>
      <c r="FL735" s="1355"/>
      <c r="FM735" s="1355"/>
      <c r="FN735" s="1356"/>
      <c r="FO735" s="1354" t="str">
        <f t="shared" si="33"/>
        <v/>
      </c>
      <c r="FP735" s="1355"/>
      <c r="FQ735" s="1355"/>
      <c r="FR735" s="1355"/>
      <c r="FS735" s="1356"/>
      <c r="FT735" s="1354" t="str">
        <f t="shared" si="34"/>
        <v/>
      </c>
      <c r="FU735" s="1355"/>
      <c r="FV735" s="1355"/>
      <c r="FW735" s="1355"/>
      <c r="FX735" s="1356"/>
      <c r="FY735" s="1354" t="str">
        <f t="shared" si="35"/>
        <v/>
      </c>
      <c r="FZ735" s="1355"/>
      <c r="GA735" s="1355"/>
      <c r="GB735" s="1355"/>
      <c r="GC735" s="1356"/>
    </row>
    <row r="736" spans="1:185" ht="13" customHeight="1">
      <c r="B736" s="1358"/>
      <c r="C736" s="1359"/>
      <c r="D736" s="1359"/>
      <c r="E736" s="1359"/>
      <c r="F736" s="1360"/>
      <c r="G736" s="1367"/>
      <c r="H736" s="1368"/>
      <c r="I736" s="1368"/>
      <c r="J736" s="1369"/>
      <c r="K736" s="1608"/>
      <c r="L736" s="1609"/>
      <c r="M736" s="1609"/>
      <c r="N736" s="1610"/>
      <c r="O736" s="1471"/>
      <c r="P736" s="1472"/>
      <c r="Q736" s="1472"/>
      <c r="R736" s="1472"/>
      <c r="S736" s="1473"/>
      <c r="T736" s="1471"/>
      <c r="U736" s="1472"/>
      <c r="V736" s="1472"/>
      <c r="W736" s="1473"/>
      <c r="X736" s="1361">
        <f t="shared" si="8"/>
        <v>0</v>
      </c>
      <c r="Y736" s="1362"/>
      <c r="Z736" s="1362"/>
      <c r="AA736" s="1362"/>
      <c r="AB736" s="1363"/>
      <c r="AC736" s="1618"/>
      <c r="AD736" s="1619"/>
      <c r="AE736" s="1619"/>
      <c r="AF736" s="1619"/>
      <c r="AG736" s="1620"/>
      <c r="AH736" s="1364" t="str">
        <f t="shared" si="36"/>
        <v/>
      </c>
      <c r="AI736" s="1365"/>
      <c r="AJ736" s="1366"/>
      <c r="AK736" s="1358" t="s">
        <v>592</v>
      </c>
      <c r="AL736" s="1359"/>
      <c r="AM736" s="1359"/>
      <c r="AN736" s="1359"/>
      <c r="AO736" s="136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4">
        <f t="shared" si="37"/>
        <v>0</v>
      </c>
      <c r="CH736" s="1356"/>
      <c r="CI736" s="1338">
        <f t="shared" si="38"/>
        <v>0</v>
      </c>
      <c r="CJ736" s="1340"/>
      <c r="CK736" s="1354">
        <f t="shared" si="16"/>
        <v>0</v>
      </c>
      <c r="CL736" s="1356"/>
      <c r="CM736" s="1338">
        <f t="shared" si="17"/>
        <v>0</v>
      </c>
      <c r="CN736" s="1340"/>
      <c r="CO736" s="3"/>
      <c r="CP736" s="1335">
        <f t="shared" si="18"/>
        <v>0</v>
      </c>
      <c r="CQ736" s="1336"/>
      <c r="CR736" s="1336"/>
      <c r="CS736" s="1336"/>
      <c r="CT736" s="1337"/>
      <c r="CU736" s="1357">
        <f t="shared" si="19"/>
        <v>0</v>
      </c>
      <c r="CV736" s="1357"/>
      <c r="CW736" s="1357"/>
      <c r="CX736" s="1357"/>
      <c r="CY736" s="1357"/>
      <c r="CZ736" s="1357">
        <f t="shared" si="20"/>
        <v>0</v>
      </c>
      <c r="DA736" s="1357"/>
      <c r="DB736" s="1357"/>
      <c r="DC736" s="1357"/>
      <c r="DD736" s="1357"/>
      <c r="DE736" s="1357">
        <f t="shared" si="21"/>
        <v>0</v>
      </c>
      <c r="DF736" s="1357"/>
      <c r="DG736" s="1357"/>
      <c r="DH736" s="1357"/>
      <c r="DI736" s="1357"/>
      <c r="DJ736" s="1357">
        <f t="shared" si="22"/>
        <v>0</v>
      </c>
      <c r="DK736" s="1357"/>
      <c r="DL736" s="1357"/>
      <c r="DM736" s="1357"/>
      <c r="DN736" s="1357"/>
      <c r="DO736" s="1357">
        <f t="shared" si="23"/>
        <v>0</v>
      </c>
      <c r="DP736" s="1357"/>
      <c r="DQ736" s="1357"/>
      <c r="DR736" s="1357"/>
      <c r="DS736" s="1357"/>
      <c r="DT736" s="6"/>
      <c r="DU736" s="1371">
        <f t="shared" si="24"/>
        <v>0</v>
      </c>
      <c r="DV736" s="1371"/>
      <c r="DW736" s="1371"/>
      <c r="DX736" s="1371"/>
      <c r="DY736" s="1371"/>
      <c r="DZ736" s="1371">
        <f t="shared" si="25"/>
        <v>0</v>
      </c>
      <c r="EA736" s="1371"/>
      <c r="EB736" s="1371"/>
      <c r="EC736" s="1371"/>
      <c r="ED736" s="1371"/>
      <c r="EE736" s="1371">
        <f t="shared" si="26"/>
        <v>0</v>
      </c>
      <c r="EF736" s="1371"/>
      <c r="EG736" s="1371"/>
      <c r="EH736" s="1371"/>
      <c r="EI736" s="1371"/>
      <c r="EJ736" s="1371">
        <f t="shared" si="27"/>
        <v>0</v>
      </c>
      <c r="EK736" s="1371"/>
      <c r="EL736" s="1371"/>
      <c r="EM736" s="1371"/>
      <c r="EN736" s="1371"/>
      <c r="EO736" s="1371">
        <f t="shared" si="28"/>
        <v>0</v>
      </c>
      <c r="EP736" s="1371"/>
      <c r="EQ736" s="1371"/>
      <c r="ER736" s="1371"/>
      <c r="ES736" s="1371"/>
      <c r="ET736" s="1371">
        <f t="shared" si="29"/>
        <v>0</v>
      </c>
      <c r="EU736" s="1371"/>
      <c r="EV736" s="1371"/>
      <c r="EW736" s="1371"/>
      <c r="EX736" s="1371"/>
      <c r="EZ736" s="1354" t="str">
        <f t="shared" si="30"/>
        <v/>
      </c>
      <c r="FA736" s="1355"/>
      <c r="FB736" s="1355"/>
      <c r="FC736" s="1355"/>
      <c r="FD736" s="1356"/>
      <c r="FE736" s="1354" t="str">
        <f t="shared" si="31"/>
        <v/>
      </c>
      <c r="FF736" s="1355"/>
      <c r="FG736" s="1355"/>
      <c r="FH736" s="1355"/>
      <c r="FI736" s="1356"/>
      <c r="FJ736" s="1354" t="str">
        <f t="shared" si="32"/>
        <v/>
      </c>
      <c r="FK736" s="1355"/>
      <c r="FL736" s="1355"/>
      <c r="FM736" s="1355"/>
      <c r="FN736" s="1356"/>
      <c r="FO736" s="1354" t="str">
        <f t="shared" si="33"/>
        <v/>
      </c>
      <c r="FP736" s="1355"/>
      <c r="FQ736" s="1355"/>
      <c r="FR736" s="1355"/>
      <c r="FS736" s="1356"/>
      <c r="FT736" s="1354" t="str">
        <f t="shared" si="34"/>
        <v/>
      </c>
      <c r="FU736" s="1355"/>
      <c r="FV736" s="1355"/>
      <c r="FW736" s="1355"/>
      <c r="FX736" s="1356"/>
      <c r="FY736" s="1354" t="str">
        <f t="shared" si="35"/>
        <v/>
      </c>
      <c r="FZ736" s="1355"/>
      <c r="GA736" s="1355"/>
      <c r="GB736" s="1355"/>
      <c r="GC736" s="1356"/>
    </row>
    <row r="737" spans="1:185" ht="13" customHeight="1">
      <c r="B737" s="1358"/>
      <c r="C737" s="1359"/>
      <c r="D737" s="1359"/>
      <c r="E737" s="1359"/>
      <c r="F737" s="1360"/>
      <c r="G737" s="1367"/>
      <c r="H737" s="1368"/>
      <c r="I737" s="1368"/>
      <c r="J737" s="1369"/>
      <c r="K737" s="1608"/>
      <c r="L737" s="1609"/>
      <c r="M737" s="1609"/>
      <c r="N737" s="1610"/>
      <c r="O737" s="1471"/>
      <c r="P737" s="1472"/>
      <c r="Q737" s="1472"/>
      <c r="R737" s="1472"/>
      <c r="S737" s="1473"/>
      <c r="T737" s="1471"/>
      <c r="U737" s="1472"/>
      <c r="V737" s="1472"/>
      <c r="W737" s="1473"/>
      <c r="X737" s="1361">
        <f t="shared" si="8"/>
        <v>0</v>
      </c>
      <c r="Y737" s="1362"/>
      <c r="Z737" s="1362"/>
      <c r="AA737" s="1362"/>
      <c r="AB737" s="1363"/>
      <c r="AC737" s="1618"/>
      <c r="AD737" s="1619"/>
      <c r="AE737" s="1619"/>
      <c r="AF737" s="1619"/>
      <c r="AG737" s="1620"/>
      <c r="AH737" s="1364" t="str">
        <f t="shared" si="36"/>
        <v/>
      </c>
      <c r="AI737" s="1365"/>
      <c r="AJ737" s="1366"/>
      <c r="AK737" s="1358" t="s">
        <v>592</v>
      </c>
      <c r="AL737" s="1359"/>
      <c r="AM737" s="1359"/>
      <c r="AN737" s="1359"/>
      <c r="AO737" s="136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4">
        <f t="shared" si="37"/>
        <v>0</v>
      </c>
      <c r="CH737" s="1356"/>
      <c r="CI737" s="1338">
        <f t="shared" si="38"/>
        <v>0</v>
      </c>
      <c r="CJ737" s="1340"/>
      <c r="CK737" s="1354">
        <f t="shared" si="16"/>
        <v>0</v>
      </c>
      <c r="CL737" s="1356"/>
      <c r="CM737" s="1338">
        <f t="shared" si="17"/>
        <v>0</v>
      </c>
      <c r="CN737" s="1340"/>
      <c r="CO737" s="3"/>
      <c r="CP737" s="1335">
        <f t="shared" si="18"/>
        <v>0</v>
      </c>
      <c r="CQ737" s="1336"/>
      <c r="CR737" s="1336"/>
      <c r="CS737" s="1336"/>
      <c r="CT737" s="1337"/>
      <c r="CU737" s="1357">
        <f t="shared" si="19"/>
        <v>0</v>
      </c>
      <c r="CV737" s="1357"/>
      <c r="CW737" s="1357"/>
      <c r="CX737" s="1357"/>
      <c r="CY737" s="1357"/>
      <c r="CZ737" s="1357">
        <f t="shared" si="20"/>
        <v>0</v>
      </c>
      <c r="DA737" s="1357"/>
      <c r="DB737" s="1357"/>
      <c r="DC737" s="1357"/>
      <c r="DD737" s="1357"/>
      <c r="DE737" s="1357">
        <f t="shared" si="21"/>
        <v>0</v>
      </c>
      <c r="DF737" s="1357"/>
      <c r="DG737" s="1357"/>
      <c r="DH737" s="1357"/>
      <c r="DI737" s="1357"/>
      <c r="DJ737" s="1357">
        <f t="shared" si="22"/>
        <v>0</v>
      </c>
      <c r="DK737" s="1357"/>
      <c r="DL737" s="1357"/>
      <c r="DM737" s="1357"/>
      <c r="DN737" s="1357"/>
      <c r="DO737" s="1357">
        <f t="shared" si="23"/>
        <v>0</v>
      </c>
      <c r="DP737" s="1357"/>
      <c r="DQ737" s="1357"/>
      <c r="DR737" s="1357"/>
      <c r="DS737" s="1357"/>
      <c r="DT737" s="6"/>
      <c r="DU737" s="1371">
        <f t="shared" si="24"/>
        <v>0</v>
      </c>
      <c r="DV737" s="1371"/>
      <c r="DW737" s="1371"/>
      <c r="DX737" s="1371"/>
      <c r="DY737" s="1371"/>
      <c r="DZ737" s="1371">
        <f t="shared" si="25"/>
        <v>0</v>
      </c>
      <c r="EA737" s="1371"/>
      <c r="EB737" s="1371"/>
      <c r="EC737" s="1371"/>
      <c r="ED737" s="1371"/>
      <c r="EE737" s="1371">
        <f t="shared" si="26"/>
        <v>0</v>
      </c>
      <c r="EF737" s="1371"/>
      <c r="EG737" s="1371"/>
      <c r="EH737" s="1371"/>
      <c r="EI737" s="1371"/>
      <c r="EJ737" s="1371">
        <f t="shared" si="27"/>
        <v>0</v>
      </c>
      <c r="EK737" s="1371"/>
      <c r="EL737" s="1371"/>
      <c r="EM737" s="1371"/>
      <c r="EN737" s="1371"/>
      <c r="EO737" s="1371">
        <f t="shared" si="28"/>
        <v>0</v>
      </c>
      <c r="EP737" s="1371"/>
      <c r="EQ737" s="1371"/>
      <c r="ER737" s="1371"/>
      <c r="ES737" s="1371"/>
      <c r="ET737" s="1371">
        <f t="shared" si="29"/>
        <v>0</v>
      </c>
      <c r="EU737" s="1371"/>
      <c r="EV737" s="1371"/>
      <c r="EW737" s="1371"/>
      <c r="EX737" s="1371"/>
      <c r="EZ737" s="1354" t="str">
        <f t="shared" si="30"/>
        <v/>
      </c>
      <c r="FA737" s="1355"/>
      <c r="FB737" s="1355"/>
      <c r="FC737" s="1355"/>
      <c r="FD737" s="1356"/>
      <c r="FE737" s="1354" t="str">
        <f t="shared" si="31"/>
        <v/>
      </c>
      <c r="FF737" s="1355"/>
      <c r="FG737" s="1355"/>
      <c r="FH737" s="1355"/>
      <c r="FI737" s="1356"/>
      <c r="FJ737" s="1354" t="str">
        <f t="shared" si="32"/>
        <v/>
      </c>
      <c r="FK737" s="1355"/>
      <c r="FL737" s="1355"/>
      <c r="FM737" s="1355"/>
      <c r="FN737" s="1356"/>
      <c r="FO737" s="1354" t="str">
        <f t="shared" si="33"/>
        <v/>
      </c>
      <c r="FP737" s="1355"/>
      <c r="FQ737" s="1355"/>
      <c r="FR737" s="1355"/>
      <c r="FS737" s="1356"/>
      <c r="FT737" s="1354" t="str">
        <f t="shared" si="34"/>
        <v/>
      </c>
      <c r="FU737" s="1355"/>
      <c r="FV737" s="1355"/>
      <c r="FW737" s="1355"/>
      <c r="FX737" s="1356"/>
      <c r="FY737" s="1354" t="str">
        <f t="shared" si="35"/>
        <v/>
      </c>
      <c r="FZ737" s="1355"/>
      <c r="GA737" s="1355"/>
      <c r="GB737" s="1355"/>
      <c r="GC737" s="1356"/>
    </row>
    <row r="738" spans="1:185" ht="13" customHeight="1">
      <c r="B738" s="1358"/>
      <c r="C738" s="1359"/>
      <c r="D738" s="1359"/>
      <c r="E738" s="1359"/>
      <c r="F738" s="1360"/>
      <c r="G738" s="1367"/>
      <c r="H738" s="1368"/>
      <c r="I738" s="1368"/>
      <c r="J738" s="1369"/>
      <c r="K738" s="1608"/>
      <c r="L738" s="1609"/>
      <c r="M738" s="1609"/>
      <c r="N738" s="1610"/>
      <c r="O738" s="1471"/>
      <c r="P738" s="1472"/>
      <c r="Q738" s="1472"/>
      <c r="R738" s="1472"/>
      <c r="S738" s="1473"/>
      <c r="T738" s="1471"/>
      <c r="U738" s="1472"/>
      <c r="V738" s="1472"/>
      <c r="W738" s="1473"/>
      <c r="X738" s="1361">
        <f t="shared" si="8"/>
        <v>0</v>
      </c>
      <c r="Y738" s="1362"/>
      <c r="Z738" s="1362"/>
      <c r="AA738" s="1362"/>
      <c r="AB738" s="1363"/>
      <c r="AC738" s="1618"/>
      <c r="AD738" s="1619"/>
      <c r="AE738" s="1619"/>
      <c r="AF738" s="1619"/>
      <c r="AG738" s="1620"/>
      <c r="AH738" s="1364" t="str">
        <f t="shared" si="36"/>
        <v/>
      </c>
      <c r="AI738" s="1365"/>
      <c r="AJ738" s="1366"/>
      <c r="AK738" s="1358" t="s">
        <v>592</v>
      </c>
      <c r="AL738" s="1359"/>
      <c r="AM738" s="1359"/>
      <c r="AN738" s="1359"/>
      <c r="AO738" s="136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4">
        <f t="shared" si="37"/>
        <v>0</v>
      </c>
      <c r="CH738" s="1356"/>
      <c r="CI738" s="1338">
        <f t="shared" si="38"/>
        <v>0</v>
      </c>
      <c r="CJ738" s="1340"/>
      <c r="CK738" s="1354">
        <f t="shared" si="16"/>
        <v>0</v>
      </c>
      <c r="CL738" s="1356"/>
      <c r="CM738" s="1338">
        <f t="shared" si="17"/>
        <v>0</v>
      </c>
      <c r="CN738" s="1340"/>
      <c r="CO738" s="3"/>
      <c r="CP738" s="1335">
        <f t="shared" si="18"/>
        <v>0</v>
      </c>
      <c r="CQ738" s="1336"/>
      <c r="CR738" s="1336"/>
      <c r="CS738" s="1336"/>
      <c r="CT738" s="1337"/>
      <c r="CU738" s="1357">
        <f t="shared" si="19"/>
        <v>0</v>
      </c>
      <c r="CV738" s="1357"/>
      <c r="CW738" s="1357"/>
      <c r="CX738" s="1357"/>
      <c r="CY738" s="1357"/>
      <c r="CZ738" s="1357">
        <f t="shared" si="20"/>
        <v>0</v>
      </c>
      <c r="DA738" s="1357"/>
      <c r="DB738" s="1357"/>
      <c r="DC738" s="1357"/>
      <c r="DD738" s="1357"/>
      <c r="DE738" s="1357">
        <f t="shared" si="21"/>
        <v>0</v>
      </c>
      <c r="DF738" s="1357"/>
      <c r="DG738" s="1357"/>
      <c r="DH738" s="1357"/>
      <c r="DI738" s="1357"/>
      <c r="DJ738" s="1357">
        <f t="shared" si="22"/>
        <v>0</v>
      </c>
      <c r="DK738" s="1357"/>
      <c r="DL738" s="1357"/>
      <c r="DM738" s="1357"/>
      <c r="DN738" s="1357"/>
      <c r="DO738" s="1357">
        <f t="shared" si="23"/>
        <v>0</v>
      </c>
      <c r="DP738" s="1357"/>
      <c r="DQ738" s="1357"/>
      <c r="DR738" s="1357"/>
      <c r="DS738" s="1357"/>
      <c r="DT738" s="6"/>
      <c r="DU738" s="1371">
        <f t="shared" si="24"/>
        <v>0</v>
      </c>
      <c r="DV738" s="1371"/>
      <c r="DW738" s="1371"/>
      <c r="DX738" s="1371"/>
      <c r="DY738" s="1371"/>
      <c r="DZ738" s="1371">
        <f t="shared" si="25"/>
        <v>0</v>
      </c>
      <c r="EA738" s="1371"/>
      <c r="EB738" s="1371"/>
      <c r="EC738" s="1371"/>
      <c r="ED738" s="1371"/>
      <c r="EE738" s="1371">
        <f t="shared" si="26"/>
        <v>0</v>
      </c>
      <c r="EF738" s="1371"/>
      <c r="EG738" s="1371"/>
      <c r="EH738" s="1371"/>
      <c r="EI738" s="1371"/>
      <c r="EJ738" s="1371">
        <f t="shared" si="27"/>
        <v>0</v>
      </c>
      <c r="EK738" s="1371"/>
      <c r="EL738" s="1371"/>
      <c r="EM738" s="1371"/>
      <c r="EN738" s="1371"/>
      <c r="EO738" s="1371">
        <f t="shared" si="28"/>
        <v>0</v>
      </c>
      <c r="EP738" s="1371"/>
      <c r="EQ738" s="1371"/>
      <c r="ER738" s="1371"/>
      <c r="ES738" s="1371"/>
      <c r="ET738" s="1371">
        <f t="shared" si="29"/>
        <v>0</v>
      </c>
      <c r="EU738" s="1371"/>
      <c r="EV738" s="1371"/>
      <c r="EW738" s="1371"/>
      <c r="EX738" s="1371"/>
      <c r="EZ738" s="1354" t="str">
        <f t="shared" si="30"/>
        <v/>
      </c>
      <c r="FA738" s="1355"/>
      <c r="FB738" s="1355"/>
      <c r="FC738" s="1355"/>
      <c r="FD738" s="1356"/>
      <c r="FE738" s="1354" t="str">
        <f t="shared" si="31"/>
        <v/>
      </c>
      <c r="FF738" s="1355"/>
      <c r="FG738" s="1355"/>
      <c r="FH738" s="1355"/>
      <c r="FI738" s="1356"/>
      <c r="FJ738" s="1354" t="str">
        <f t="shared" si="32"/>
        <v/>
      </c>
      <c r="FK738" s="1355"/>
      <c r="FL738" s="1355"/>
      <c r="FM738" s="1355"/>
      <c r="FN738" s="1356"/>
      <c r="FO738" s="1354" t="str">
        <f t="shared" si="33"/>
        <v/>
      </c>
      <c r="FP738" s="1355"/>
      <c r="FQ738" s="1355"/>
      <c r="FR738" s="1355"/>
      <c r="FS738" s="1356"/>
      <c r="FT738" s="1354" t="str">
        <f t="shared" si="34"/>
        <v/>
      </c>
      <c r="FU738" s="1355"/>
      <c r="FV738" s="1355"/>
      <c r="FW738" s="1355"/>
      <c r="FX738" s="1356"/>
      <c r="FY738" s="1354" t="str">
        <f t="shared" si="35"/>
        <v/>
      </c>
      <c r="FZ738" s="1355"/>
      <c r="GA738" s="1355"/>
      <c r="GB738" s="1355"/>
      <c r="GC738" s="1356"/>
    </row>
    <row r="739" spans="1:185" ht="13" customHeight="1">
      <c r="B739" s="1358"/>
      <c r="C739" s="1359"/>
      <c r="D739" s="1359"/>
      <c r="E739" s="1359"/>
      <c r="F739" s="1360"/>
      <c r="G739" s="1367"/>
      <c r="H739" s="1368"/>
      <c r="I739" s="1368"/>
      <c r="J739" s="1369"/>
      <c r="K739" s="1608"/>
      <c r="L739" s="1609"/>
      <c r="M739" s="1609"/>
      <c r="N739" s="1610"/>
      <c r="O739" s="1471"/>
      <c r="P739" s="1472"/>
      <c r="Q739" s="1472"/>
      <c r="R739" s="1472"/>
      <c r="S739" s="1473"/>
      <c r="T739" s="1471"/>
      <c r="U739" s="1472"/>
      <c r="V739" s="1472"/>
      <c r="W739" s="1473"/>
      <c r="X739" s="1361">
        <f t="shared" si="8"/>
        <v>0</v>
      </c>
      <c r="Y739" s="1362"/>
      <c r="Z739" s="1362"/>
      <c r="AA739" s="1362"/>
      <c r="AB739" s="1363"/>
      <c r="AC739" s="1618"/>
      <c r="AD739" s="1619"/>
      <c r="AE739" s="1619"/>
      <c r="AF739" s="1619"/>
      <c r="AG739" s="1620"/>
      <c r="AH739" s="1364" t="str">
        <f t="shared" si="36"/>
        <v/>
      </c>
      <c r="AI739" s="1365"/>
      <c r="AJ739" s="1366"/>
      <c r="AK739" s="1358" t="s">
        <v>592</v>
      </c>
      <c r="AL739" s="1359"/>
      <c r="AM739" s="1359"/>
      <c r="AN739" s="1359"/>
      <c r="AO739" s="136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4">
        <f t="shared" si="37"/>
        <v>0</v>
      </c>
      <c r="CH739" s="1356"/>
      <c r="CI739" s="1338">
        <f t="shared" si="38"/>
        <v>0</v>
      </c>
      <c r="CJ739" s="1340"/>
      <c r="CK739" s="1354">
        <f t="shared" si="16"/>
        <v>0</v>
      </c>
      <c r="CL739" s="1356"/>
      <c r="CM739" s="1338">
        <f t="shared" si="17"/>
        <v>0</v>
      </c>
      <c r="CN739" s="1340"/>
      <c r="CO739" s="3"/>
      <c r="CP739" s="1335">
        <f t="shared" si="18"/>
        <v>0</v>
      </c>
      <c r="CQ739" s="1336"/>
      <c r="CR739" s="1336"/>
      <c r="CS739" s="1336"/>
      <c r="CT739" s="1337"/>
      <c r="CU739" s="1357">
        <f t="shared" si="19"/>
        <v>0</v>
      </c>
      <c r="CV739" s="1357"/>
      <c r="CW739" s="1357"/>
      <c r="CX739" s="1357"/>
      <c r="CY739" s="1357"/>
      <c r="CZ739" s="1357">
        <f t="shared" si="20"/>
        <v>0</v>
      </c>
      <c r="DA739" s="1357"/>
      <c r="DB739" s="1357"/>
      <c r="DC739" s="1357"/>
      <c r="DD739" s="1357"/>
      <c r="DE739" s="1357">
        <f t="shared" si="21"/>
        <v>0</v>
      </c>
      <c r="DF739" s="1357"/>
      <c r="DG739" s="1357"/>
      <c r="DH739" s="1357"/>
      <c r="DI739" s="1357"/>
      <c r="DJ739" s="1357">
        <f t="shared" si="22"/>
        <v>0</v>
      </c>
      <c r="DK739" s="1357"/>
      <c r="DL739" s="1357"/>
      <c r="DM739" s="1357"/>
      <c r="DN739" s="1357"/>
      <c r="DO739" s="1357">
        <f t="shared" si="23"/>
        <v>0</v>
      </c>
      <c r="DP739" s="1357"/>
      <c r="DQ739" s="1357"/>
      <c r="DR739" s="1357"/>
      <c r="DS739" s="1357"/>
      <c r="DT739" s="6"/>
      <c r="DU739" s="1371">
        <f t="shared" si="24"/>
        <v>0</v>
      </c>
      <c r="DV739" s="1371"/>
      <c r="DW739" s="1371"/>
      <c r="DX739" s="1371"/>
      <c r="DY739" s="1371"/>
      <c r="DZ739" s="1371">
        <f t="shared" si="25"/>
        <v>0</v>
      </c>
      <c r="EA739" s="1371"/>
      <c r="EB739" s="1371"/>
      <c r="EC739" s="1371"/>
      <c r="ED739" s="1371"/>
      <c r="EE739" s="1371">
        <f t="shared" si="26"/>
        <v>0</v>
      </c>
      <c r="EF739" s="1371"/>
      <c r="EG739" s="1371"/>
      <c r="EH739" s="1371"/>
      <c r="EI739" s="1371"/>
      <c r="EJ739" s="1371">
        <f t="shared" si="27"/>
        <v>0</v>
      </c>
      <c r="EK739" s="1371"/>
      <c r="EL739" s="1371"/>
      <c r="EM739" s="1371"/>
      <c r="EN739" s="1371"/>
      <c r="EO739" s="1371">
        <f t="shared" si="28"/>
        <v>0</v>
      </c>
      <c r="EP739" s="1371"/>
      <c r="EQ739" s="1371"/>
      <c r="ER739" s="1371"/>
      <c r="ES739" s="1371"/>
      <c r="ET739" s="1371">
        <f t="shared" si="29"/>
        <v>0</v>
      </c>
      <c r="EU739" s="1371"/>
      <c r="EV739" s="1371"/>
      <c r="EW739" s="1371"/>
      <c r="EX739" s="1371"/>
      <c r="EZ739" s="1354" t="str">
        <f t="shared" si="30"/>
        <v/>
      </c>
      <c r="FA739" s="1355"/>
      <c r="FB739" s="1355"/>
      <c r="FC739" s="1355"/>
      <c r="FD739" s="1356"/>
      <c r="FE739" s="1354" t="str">
        <f t="shared" si="31"/>
        <v/>
      </c>
      <c r="FF739" s="1355"/>
      <c r="FG739" s="1355"/>
      <c r="FH739" s="1355"/>
      <c r="FI739" s="1356"/>
      <c r="FJ739" s="1354" t="str">
        <f t="shared" si="32"/>
        <v/>
      </c>
      <c r="FK739" s="1355"/>
      <c r="FL739" s="1355"/>
      <c r="FM739" s="1355"/>
      <c r="FN739" s="1356"/>
      <c r="FO739" s="1354" t="str">
        <f t="shared" si="33"/>
        <v/>
      </c>
      <c r="FP739" s="1355"/>
      <c r="FQ739" s="1355"/>
      <c r="FR739" s="1355"/>
      <c r="FS739" s="1356"/>
      <c r="FT739" s="1354" t="str">
        <f t="shared" si="34"/>
        <v/>
      </c>
      <c r="FU739" s="1355"/>
      <c r="FV739" s="1355"/>
      <c r="FW739" s="1355"/>
      <c r="FX739" s="1356"/>
      <c r="FY739" s="1354" t="str">
        <f t="shared" si="35"/>
        <v/>
      </c>
      <c r="FZ739" s="1355"/>
      <c r="GA739" s="1355"/>
      <c r="GB739" s="1355"/>
      <c r="GC739" s="1356"/>
    </row>
    <row r="740" spans="1:185" ht="13" customHeight="1">
      <c r="B740" s="1358"/>
      <c r="C740" s="1359"/>
      <c r="D740" s="1359"/>
      <c r="E740" s="1359"/>
      <c r="F740" s="1360"/>
      <c r="G740" s="1367"/>
      <c r="H740" s="1368"/>
      <c r="I740" s="1368"/>
      <c r="J740" s="1369"/>
      <c r="K740" s="1608"/>
      <c r="L740" s="1609"/>
      <c r="M740" s="1609"/>
      <c r="N740" s="1610"/>
      <c r="O740" s="1471"/>
      <c r="P740" s="1472"/>
      <c r="Q740" s="1472"/>
      <c r="R740" s="1472"/>
      <c r="S740" s="1473"/>
      <c r="T740" s="1471"/>
      <c r="U740" s="1472"/>
      <c r="V740" s="1472"/>
      <c r="W740" s="1473"/>
      <c r="X740" s="1361">
        <f t="shared" si="8"/>
        <v>0</v>
      </c>
      <c r="Y740" s="1362"/>
      <c r="Z740" s="1362"/>
      <c r="AA740" s="1362"/>
      <c r="AB740" s="1363"/>
      <c r="AC740" s="1618"/>
      <c r="AD740" s="1619"/>
      <c r="AE740" s="1619"/>
      <c r="AF740" s="1619"/>
      <c r="AG740" s="1620"/>
      <c r="AH740" s="1364" t="str">
        <f t="shared" si="36"/>
        <v/>
      </c>
      <c r="AI740" s="1365"/>
      <c r="AJ740" s="1366"/>
      <c r="AK740" s="1358" t="s">
        <v>592</v>
      </c>
      <c r="AL740" s="1359"/>
      <c r="AM740" s="1359"/>
      <c r="AN740" s="1359"/>
      <c r="AO740" s="136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4">
        <f t="shared" si="37"/>
        <v>0</v>
      </c>
      <c r="CH740" s="1356"/>
      <c r="CI740" s="1338">
        <f t="shared" si="38"/>
        <v>0</v>
      </c>
      <c r="CJ740" s="1340"/>
      <c r="CK740" s="1354">
        <f t="shared" si="16"/>
        <v>0</v>
      </c>
      <c r="CL740" s="1356"/>
      <c r="CM740" s="1338">
        <f t="shared" si="17"/>
        <v>0</v>
      </c>
      <c r="CN740" s="1340"/>
      <c r="CO740" s="3"/>
      <c r="CP740" s="1335">
        <f t="shared" si="18"/>
        <v>0</v>
      </c>
      <c r="CQ740" s="1336"/>
      <c r="CR740" s="1336"/>
      <c r="CS740" s="1336"/>
      <c r="CT740" s="1337"/>
      <c r="CU740" s="1357">
        <f t="shared" si="19"/>
        <v>0</v>
      </c>
      <c r="CV740" s="1357"/>
      <c r="CW740" s="1357"/>
      <c r="CX740" s="1357"/>
      <c r="CY740" s="1357"/>
      <c r="CZ740" s="1357">
        <f t="shared" si="20"/>
        <v>0</v>
      </c>
      <c r="DA740" s="1357"/>
      <c r="DB740" s="1357"/>
      <c r="DC740" s="1357"/>
      <c r="DD740" s="1357"/>
      <c r="DE740" s="1357">
        <f t="shared" si="21"/>
        <v>0</v>
      </c>
      <c r="DF740" s="1357"/>
      <c r="DG740" s="1357"/>
      <c r="DH740" s="1357"/>
      <c r="DI740" s="1357"/>
      <c r="DJ740" s="1357">
        <f t="shared" si="22"/>
        <v>0</v>
      </c>
      <c r="DK740" s="1357"/>
      <c r="DL740" s="1357"/>
      <c r="DM740" s="1357"/>
      <c r="DN740" s="1357"/>
      <c r="DO740" s="1357">
        <f t="shared" si="23"/>
        <v>0</v>
      </c>
      <c r="DP740" s="1357"/>
      <c r="DQ740" s="1357"/>
      <c r="DR740" s="1357"/>
      <c r="DS740" s="1357"/>
      <c r="DT740" s="6"/>
      <c r="DU740" s="1371">
        <f t="shared" si="24"/>
        <v>0</v>
      </c>
      <c r="DV740" s="1371"/>
      <c r="DW740" s="1371"/>
      <c r="DX740" s="1371"/>
      <c r="DY740" s="1371"/>
      <c r="DZ740" s="1371">
        <f t="shared" si="25"/>
        <v>0</v>
      </c>
      <c r="EA740" s="1371"/>
      <c r="EB740" s="1371"/>
      <c r="EC740" s="1371"/>
      <c r="ED740" s="1371"/>
      <c r="EE740" s="1371">
        <f t="shared" si="26"/>
        <v>0</v>
      </c>
      <c r="EF740" s="1371"/>
      <c r="EG740" s="1371"/>
      <c r="EH740" s="1371"/>
      <c r="EI740" s="1371"/>
      <c r="EJ740" s="1371">
        <f t="shared" si="27"/>
        <v>0</v>
      </c>
      <c r="EK740" s="1371"/>
      <c r="EL740" s="1371"/>
      <c r="EM740" s="1371"/>
      <c r="EN740" s="1371"/>
      <c r="EO740" s="1371">
        <f t="shared" si="28"/>
        <v>0</v>
      </c>
      <c r="EP740" s="1371"/>
      <c r="EQ740" s="1371"/>
      <c r="ER740" s="1371"/>
      <c r="ES740" s="1371"/>
      <c r="ET740" s="1371">
        <f t="shared" si="29"/>
        <v>0</v>
      </c>
      <c r="EU740" s="1371"/>
      <c r="EV740" s="1371"/>
      <c r="EW740" s="1371"/>
      <c r="EX740" s="1371"/>
      <c r="EZ740" s="1354" t="str">
        <f t="shared" si="30"/>
        <v/>
      </c>
      <c r="FA740" s="1355"/>
      <c r="FB740" s="1355"/>
      <c r="FC740" s="1355"/>
      <c r="FD740" s="1356"/>
      <c r="FE740" s="1354" t="str">
        <f t="shared" si="31"/>
        <v/>
      </c>
      <c r="FF740" s="1355"/>
      <c r="FG740" s="1355"/>
      <c r="FH740" s="1355"/>
      <c r="FI740" s="1356"/>
      <c r="FJ740" s="1354" t="str">
        <f t="shared" si="32"/>
        <v/>
      </c>
      <c r="FK740" s="1355"/>
      <c r="FL740" s="1355"/>
      <c r="FM740" s="1355"/>
      <c r="FN740" s="1356"/>
      <c r="FO740" s="1354" t="str">
        <f t="shared" si="33"/>
        <v/>
      </c>
      <c r="FP740" s="1355"/>
      <c r="FQ740" s="1355"/>
      <c r="FR740" s="1355"/>
      <c r="FS740" s="1356"/>
      <c r="FT740" s="1354" t="str">
        <f t="shared" si="34"/>
        <v/>
      </c>
      <c r="FU740" s="1355"/>
      <c r="FV740" s="1355"/>
      <c r="FW740" s="1355"/>
      <c r="FX740" s="1356"/>
      <c r="FY740" s="1354" t="str">
        <f t="shared" si="35"/>
        <v/>
      </c>
      <c r="FZ740" s="1355"/>
      <c r="GA740" s="1355"/>
      <c r="GB740" s="1355"/>
      <c r="GC740" s="1356"/>
    </row>
    <row r="741" spans="1:185" ht="13" customHeight="1">
      <c r="B741" s="1358"/>
      <c r="C741" s="1359"/>
      <c r="D741" s="1359"/>
      <c r="E741" s="1359"/>
      <c r="F741" s="1360"/>
      <c r="G741" s="1367"/>
      <c r="H741" s="1368"/>
      <c r="I741" s="1368"/>
      <c r="J741" s="1369"/>
      <c r="K741" s="1608"/>
      <c r="L741" s="1609"/>
      <c r="M741" s="1609"/>
      <c r="N741" s="1610"/>
      <c r="O741" s="1471"/>
      <c r="P741" s="1472"/>
      <c r="Q741" s="1472"/>
      <c r="R741" s="1472"/>
      <c r="S741" s="1473"/>
      <c r="T741" s="1471"/>
      <c r="U741" s="1472"/>
      <c r="V741" s="1472"/>
      <c r="W741" s="1473"/>
      <c r="X741" s="1361">
        <f t="shared" si="8"/>
        <v>0</v>
      </c>
      <c r="Y741" s="1362"/>
      <c r="Z741" s="1362"/>
      <c r="AA741" s="1362"/>
      <c r="AB741" s="1363"/>
      <c r="AC741" s="1618"/>
      <c r="AD741" s="1619"/>
      <c r="AE741" s="1619"/>
      <c r="AF741" s="1619"/>
      <c r="AG741" s="1620"/>
      <c r="AH741" s="1364" t="str">
        <f t="shared" si="36"/>
        <v/>
      </c>
      <c r="AI741" s="1365"/>
      <c r="AJ741" s="1366"/>
      <c r="AK741" s="1358" t="s">
        <v>592</v>
      </c>
      <c r="AL741" s="1359"/>
      <c r="AM741" s="1359"/>
      <c r="AN741" s="1359"/>
      <c r="AO741" s="136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4">
        <f t="shared" si="37"/>
        <v>0</v>
      </c>
      <c r="CH741" s="1356"/>
      <c r="CI741" s="1338">
        <f t="shared" si="38"/>
        <v>0</v>
      </c>
      <c r="CJ741" s="1340"/>
      <c r="CK741" s="1354">
        <f t="shared" si="16"/>
        <v>0</v>
      </c>
      <c r="CL741" s="1356"/>
      <c r="CM741" s="1338">
        <f t="shared" si="17"/>
        <v>0</v>
      </c>
      <c r="CN741" s="1340"/>
      <c r="CO741" s="3"/>
      <c r="CP741" s="1335">
        <f t="shared" si="18"/>
        <v>0</v>
      </c>
      <c r="CQ741" s="1336"/>
      <c r="CR741" s="1336"/>
      <c r="CS741" s="1336"/>
      <c r="CT741" s="1337"/>
      <c r="CU741" s="1357">
        <f t="shared" si="19"/>
        <v>0</v>
      </c>
      <c r="CV741" s="1357"/>
      <c r="CW741" s="1357"/>
      <c r="CX741" s="1357"/>
      <c r="CY741" s="1357"/>
      <c r="CZ741" s="1357">
        <f t="shared" si="20"/>
        <v>0</v>
      </c>
      <c r="DA741" s="1357"/>
      <c r="DB741" s="1357"/>
      <c r="DC741" s="1357"/>
      <c r="DD741" s="1357"/>
      <c r="DE741" s="1357">
        <f t="shared" si="21"/>
        <v>0</v>
      </c>
      <c r="DF741" s="1357"/>
      <c r="DG741" s="1357"/>
      <c r="DH741" s="1357"/>
      <c r="DI741" s="1357"/>
      <c r="DJ741" s="1357">
        <f t="shared" si="22"/>
        <v>0</v>
      </c>
      <c r="DK741" s="1357"/>
      <c r="DL741" s="1357"/>
      <c r="DM741" s="1357"/>
      <c r="DN741" s="1357"/>
      <c r="DO741" s="1357">
        <f t="shared" si="23"/>
        <v>0</v>
      </c>
      <c r="DP741" s="1357"/>
      <c r="DQ741" s="1357"/>
      <c r="DR741" s="1357"/>
      <c r="DS741" s="1357"/>
      <c r="DT741" s="6"/>
      <c r="DU741" s="1371">
        <f t="shared" si="24"/>
        <v>0</v>
      </c>
      <c r="DV741" s="1371"/>
      <c r="DW741" s="1371"/>
      <c r="DX741" s="1371"/>
      <c r="DY741" s="1371"/>
      <c r="DZ741" s="1371">
        <f t="shared" si="25"/>
        <v>0</v>
      </c>
      <c r="EA741" s="1371"/>
      <c r="EB741" s="1371"/>
      <c r="EC741" s="1371"/>
      <c r="ED741" s="1371"/>
      <c r="EE741" s="1371">
        <f t="shared" si="26"/>
        <v>0</v>
      </c>
      <c r="EF741" s="1371"/>
      <c r="EG741" s="1371"/>
      <c r="EH741" s="1371"/>
      <c r="EI741" s="1371"/>
      <c r="EJ741" s="1371">
        <f t="shared" si="27"/>
        <v>0</v>
      </c>
      <c r="EK741" s="1371"/>
      <c r="EL741" s="1371"/>
      <c r="EM741" s="1371"/>
      <c r="EN741" s="1371"/>
      <c r="EO741" s="1371">
        <f t="shared" si="28"/>
        <v>0</v>
      </c>
      <c r="EP741" s="1371"/>
      <c r="EQ741" s="1371"/>
      <c r="ER741" s="1371"/>
      <c r="ES741" s="1371"/>
      <c r="ET741" s="1371">
        <f t="shared" si="29"/>
        <v>0</v>
      </c>
      <c r="EU741" s="1371"/>
      <c r="EV741" s="1371"/>
      <c r="EW741" s="1371"/>
      <c r="EX741" s="1371"/>
      <c r="EZ741" s="1354" t="str">
        <f t="shared" si="30"/>
        <v/>
      </c>
      <c r="FA741" s="1355"/>
      <c r="FB741" s="1355"/>
      <c r="FC741" s="1355"/>
      <c r="FD741" s="1356"/>
      <c r="FE741" s="1354" t="str">
        <f t="shared" si="31"/>
        <v/>
      </c>
      <c r="FF741" s="1355"/>
      <c r="FG741" s="1355"/>
      <c r="FH741" s="1355"/>
      <c r="FI741" s="1356"/>
      <c r="FJ741" s="1354" t="str">
        <f t="shared" si="32"/>
        <v/>
      </c>
      <c r="FK741" s="1355"/>
      <c r="FL741" s="1355"/>
      <c r="FM741" s="1355"/>
      <c r="FN741" s="1356"/>
      <c r="FO741" s="1354" t="str">
        <f t="shared" si="33"/>
        <v/>
      </c>
      <c r="FP741" s="1355"/>
      <c r="FQ741" s="1355"/>
      <c r="FR741" s="1355"/>
      <c r="FS741" s="1356"/>
      <c r="FT741" s="1354" t="str">
        <f t="shared" si="34"/>
        <v/>
      </c>
      <c r="FU741" s="1355"/>
      <c r="FV741" s="1355"/>
      <c r="FW741" s="1355"/>
      <c r="FX741" s="1356"/>
      <c r="FY741" s="1354" t="str">
        <f t="shared" si="35"/>
        <v/>
      </c>
      <c r="FZ741" s="1355"/>
      <c r="GA741" s="1355"/>
      <c r="GB741" s="1355"/>
      <c r="GC741" s="1356"/>
    </row>
    <row r="742" spans="1:185" ht="13" customHeight="1">
      <c r="B742" s="1358"/>
      <c r="C742" s="1359"/>
      <c r="D742" s="1359"/>
      <c r="E742" s="1359"/>
      <c r="F742" s="1360"/>
      <c r="G742" s="1367"/>
      <c r="H742" s="1368"/>
      <c r="I742" s="1368"/>
      <c r="J742" s="1369"/>
      <c r="K742" s="1608"/>
      <c r="L742" s="1609"/>
      <c r="M742" s="1609"/>
      <c r="N742" s="1610"/>
      <c r="O742" s="1471"/>
      <c r="P742" s="1472"/>
      <c r="Q742" s="1472"/>
      <c r="R742" s="1472"/>
      <c r="S742" s="1473"/>
      <c r="T742" s="1471"/>
      <c r="U742" s="1472"/>
      <c r="V742" s="1472"/>
      <c r="W742" s="1473"/>
      <c r="X742" s="1361">
        <f t="shared" ref="X742:X751" si="39">O742+T742</f>
        <v>0</v>
      </c>
      <c r="Y742" s="1362"/>
      <c r="Z742" s="1362"/>
      <c r="AA742" s="1362"/>
      <c r="AB742" s="1363"/>
      <c r="AC742" s="1618"/>
      <c r="AD742" s="1619"/>
      <c r="AE742" s="1619"/>
      <c r="AF742" s="1619"/>
      <c r="AG742" s="1620"/>
      <c r="AH742" s="1364" t="str">
        <f t="shared" si="36"/>
        <v/>
      </c>
      <c r="AI742" s="1365"/>
      <c r="AJ742" s="1366"/>
      <c r="AK742" s="1358" t="s">
        <v>592</v>
      </c>
      <c r="AL742" s="1359"/>
      <c r="AM742" s="1359"/>
      <c r="AN742" s="1359"/>
      <c r="AO742" s="136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4">
        <f t="shared" si="37"/>
        <v>0</v>
      </c>
      <c r="CH742" s="1356"/>
      <c r="CI742" s="1338">
        <f t="shared" si="38"/>
        <v>0</v>
      </c>
      <c r="CJ742" s="1340"/>
      <c r="CK742" s="1354">
        <f t="shared" si="16"/>
        <v>0</v>
      </c>
      <c r="CL742" s="1356"/>
      <c r="CM742" s="1338">
        <f t="shared" si="17"/>
        <v>0</v>
      </c>
      <c r="CN742" s="1340"/>
      <c r="CO742" s="3"/>
      <c r="CP742" s="1335">
        <f t="shared" si="18"/>
        <v>0</v>
      </c>
      <c r="CQ742" s="1336"/>
      <c r="CR742" s="1336"/>
      <c r="CS742" s="1336"/>
      <c r="CT742" s="1337"/>
      <c r="CU742" s="1357">
        <f t="shared" si="19"/>
        <v>0</v>
      </c>
      <c r="CV742" s="1357"/>
      <c r="CW742" s="1357"/>
      <c r="CX742" s="1357"/>
      <c r="CY742" s="1357"/>
      <c r="CZ742" s="1357">
        <f t="shared" si="20"/>
        <v>0</v>
      </c>
      <c r="DA742" s="1357"/>
      <c r="DB742" s="1357"/>
      <c r="DC742" s="1357"/>
      <c r="DD742" s="1357"/>
      <c r="DE742" s="1357">
        <f t="shared" si="21"/>
        <v>0</v>
      </c>
      <c r="DF742" s="1357"/>
      <c r="DG742" s="1357"/>
      <c r="DH742" s="1357"/>
      <c r="DI742" s="1357"/>
      <c r="DJ742" s="1357">
        <f t="shared" si="22"/>
        <v>0</v>
      </c>
      <c r="DK742" s="1357"/>
      <c r="DL742" s="1357"/>
      <c r="DM742" s="1357"/>
      <c r="DN742" s="1357"/>
      <c r="DO742" s="1357">
        <f t="shared" si="23"/>
        <v>0</v>
      </c>
      <c r="DP742" s="1357"/>
      <c r="DQ742" s="1357"/>
      <c r="DR742" s="1357"/>
      <c r="DS742" s="1357"/>
      <c r="DT742" s="6"/>
      <c r="DU742" s="1371">
        <f t="shared" si="24"/>
        <v>0</v>
      </c>
      <c r="DV742" s="1371"/>
      <c r="DW742" s="1371"/>
      <c r="DX742" s="1371"/>
      <c r="DY742" s="1371"/>
      <c r="DZ742" s="1371">
        <f t="shared" si="25"/>
        <v>0</v>
      </c>
      <c r="EA742" s="1371"/>
      <c r="EB742" s="1371"/>
      <c r="EC742" s="1371"/>
      <c r="ED742" s="1371"/>
      <c r="EE742" s="1371">
        <f t="shared" si="26"/>
        <v>0</v>
      </c>
      <c r="EF742" s="1371"/>
      <c r="EG742" s="1371"/>
      <c r="EH742" s="1371"/>
      <c r="EI742" s="1371"/>
      <c r="EJ742" s="1371">
        <f t="shared" si="27"/>
        <v>0</v>
      </c>
      <c r="EK742" s="1371"/>
      <c r="EL742" s="1371"/>
      <c r="EM742" s="1371"/>
      <c r="EN742" s="1371"/>
      <c r="EO742" s="1371">
        <f t="shared" si="28"/>
        <v>0</v>
      </c>
      <c r="EP742" s="1371"/>
      <c r="EQ742" s="1371"/>
      <c r="ER742" s="1371"/>
      <c r="ES742" s="1371"/>
      <c r="ET742" s="1371">
        <f t="shared" si="29"/>
        <v>0</v>
      </c>
      <c r="EU742" s="1371"/>
      <c r="EV742" s="1371"/>
      <c r="EW742" s="1371"/>
      <c r="EX742" s="1371"/>
      <c r="EZ742" s="1354" t="str">
        <f t="shared" si="30"/>
        <v/>
      </c>
      <c r="FA742" s="1355"/>
      <c r="FB742" s="1355"/>
      <c r="FC742" s="1355"/>
      <c r="FD742" s="1356"/>
      <c r="FE742" s="1354" t="str">
        <f t="shared" si="31"/>
        <v/>
      </c>
      <c r="FF742" s="1355"/>
      <c r="FG742" s="1355"/>
      <c r="FH742" s="1355"/>
      <c r="FI742" s="1356"/>
      <c r="FJ742" s="1354" t="str">
        <f t="shared" si="32"/>
        <v/>
      </c>
      <c r="FK742" s="1355"/>
      <c r="FL742" s="1355"/>
      <c r="FM742" s="1355"/>
      <c r="FN742" s="1356"/>
      <c r="FO742" s="1354" t="str">
        <f t="shared" si="33"/>
        <v/>
      </c>
      <c r="FP742" s="1355"/>
      <c r="FQ742" s="1355"/>
      <c r="FR742" s="1355"/>
      <c r="FS742" s="1356"/>
      <c r="FT742" s="1354" t="str">
        <f t="shared" si="34"/>
        <v/>
      </c>
      <c r="FU742" s="1355"/>
      <c r="FV742" s="1355"/>
      <c r="FW742" s="1355"/>
      <c r="FX742" s="1356"/>
      <c r="FY742" s="1354" t="str">
        <f t="shared" si="35"/>
        <v/>
      </c>
      <c r="FZ742" s="1355"/>
      <c r="GA742" s="1355"/>
      <c r="GB742" s="1355"/>
      <c r="GC742" s="1356"/>
    </row>
    <row r="743" spans="1:185" s="3" customFormat="1" ht="13" customHeight="1">
      <c r="A743"/>
      <c r="B743" s="1358"/>
      <c r="C743" s="1359"/>
      <c r="D743" s="1359"/>
      <c r="E743" s="1359"/>
      <c r="F743" s="1360"/>
      <c r="G743" s="1367"/>
      <c r="H743" s="1368"/>
      <c r="I743" s="1368"/>
      <c r="J743" s="1369"/>
      <c r="K743" s="1608"/>
      <c r="L743" s="1609"/>
      <c r="M743" s="1609"/>
      <c r="N743" s="1610"/>
      <c r="O743" s="1471"/>
      <c r="P743" s="1472"/>
      <c r="Q743" s="1472"/>
      <c r="R743" s="1472"/>
      <c r="S743" s="1473"/>
      <c r="T743" s="1471"/>
      <c r="U743" s="1472"/>
      <c r="V743" s="1472"/>
      <c r="W743" s="1473"/>
      <c r="X743" s="1361">
        <f t="shared" si="39"/>
        <v>0</v>
      </c>
      <c r="Y743" s="1362"/>
      <c r="Z743" s="1362"/>
      <c r="AA743" s="1362"/>
      <c r="AB743" s="1363"/>
      <c r="AC743" s="1618"/>
      <c r="AD743" s="1619"/>
      <c r="AE743" s="1619"/>
      <c r="AF743" s="1619"/>
      <c r="AG743" s="1620"/>
      <c r="AH743" s="1364" t="str">
        <f t="shared" si="36"/>
        <v/>
      </c>
      <c r="AI743" s="1365"/>
      <c r="AJ743" s="1366"/>
      <c r="AK743" s="1358" t="s">
        <v>592</v>
      </c>
      <c r="AL743" s="1359"/>
      <c r="AM743" s="1359"/>
      <c r="AN743" s="1359"/>
      <c r="AO743" s="136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4">
        <f t="shared" si="37"/>
        <v>0</v>
      </c>
      <c r="CH743" s="1356"/>
      <c r="CI743" s="1338">
        <f t="shared" si="38"/>
        <v>0</v>
      </c>
      <c r="CJ743" s="1340"/>
      <c r="CK743" s="1354">
        <f t="shared" si="16"/>
        <v>0</v>
      </c>
      <c r="CL743" s="1356"/>
      <c r="CM743" s="1338">
        <f t="shared" si="17"/>
        <v>0</v>
      </c>
      <c r="CN743" s="1340"/>
      <c r="CP743" s="1335">
        <f t="shared" si="18"/>
        <v>0</v>
      </c>
      <c r="CQ743" s="1336"/>
      <c r="CR743" s="1336"/>
      <c r="CS743" s="1336"/>
      <c r="CT743" s="1337"/>
      <c r="CU743" s="1357">
        <f t="shared" si="19"/>
        <v>0</v>
      </c>
      <c r="CV743" s="1357"/>
      <c r="CW743" s="1357"/>
      <c r="CX743" s="1357"/>
      <c r="CY743" s="1357"/>
      <c r="CZ743" s="1357">
        <f t="shared" si="20"/>
        <v>0</v>
      </c>
      <c r="DA743" s="1357"/>
      <c r="DB743" s="1357"/>
      <c r="DC743" s="1357"/>
      <c r="DD743" s="1357"/>
      <c r="DE743" s="1357">
        <f t="shared" si="21"/>
        <v>0</v>
      </c>
      <c r="DF743" s="1357"/>
      <c r="DG743" s="1357"/>
      <c r="DH743" s="1357"/>
      <c r="DI743" s="1357"/>
      <c r="DJ743" s="1357">
        <f t="shared" si="22"/>
        <v>0</v>
      </c>
      <c r="DK743" s="1357"/>
      <c r="DL743" s="1357"/>
      <c r="DM743" s="1357"/>
      <c r="DN743" s="1357"/>
      <c r="DO743" s="1357">
        <f t="shared" si="23"/>
        <v>0</v>
      </c>
      <c r="DP743" s="1357"/>
      <c r="DQ743" s="1357"/>
      <c r="DR743" s="1357"/>
      <c r="DS743" s="1357"/>
      <c r="DT743" s="6"/>
      <c r="DU743" s="1371">
        <f t="shared" si="24"/>
        <v>0</v>
      </c>
      <c r="DV743" s="1371"/>
      <c r="DW743" s="1371"/>
      <c r="DX743" s="1371"/>
      <c r="DY743" s="1371"/>
      <c r="DZ743" s="1371">
        <f t="shared" si="25"/>
        <v>0</v>
      </c>
      <c r="EA743" s="1371"/>
      <c r="EB743" s="1371"/>
      <c r="EC743" s="1371"/>
      <c r="ED743" s="1371"/>
      <c r="EE743" s="1371">
        <f t="shared" si="26"/>
        <v>0</v>
      </c>
      <c r="EF743" s="1371"/>
      <c r="EG743" s="1371"/>
      <c r="EH743" s="1371"/>
      <c r="EI743" s="1371"/>
      <c r="EJ743" s="1371">
        <f t="shared" si="27"/>
        <v>0</v>
      </c>
      <c r="EK743" s="1371"/>
      <c r="EL743" s="1371"/>
      <c r="EM743" s="1371"/>
      <c r="EN743" s="1371"/>
      <c r="EO743" s="1371">
        <f t="shared" si="28"/>
        <v>0</v>
      </c>
      <c r="EP743" s="1371"/>
      <c r="EQ743" s="1371"/>
      <c r="ER743" s="1371"/>
      <c r="ES743" s="1371"/>
      <c r="ET743" s="1371">
        <f t="shared" si="29"/>
        <v>0</v>
      </c>
      <c r="EU743" s="1371"/>
      <c r="EV743" s="1371"/>
      <c r="EW743" s="1371"/>
      <c r="EX743" s="1371"/>
      <c r="EY743"/>
      <c r="EZ743" s="1354" t="str">
        <f t="shared" si="30"/>
        <v/>
      </c>
      <c r="FA743" s="1355"/>
      <c r="FB743" s="1355"/>
      <c r="FC743" s="1355"/>
      <c r="FD743" s="1356"/>
      <c r="FE743" s="1354" t="str">
        <f t="shared" si="31"/>
        <v/>
      </c>
      <c r="FF743" s="1355"/>
      <c r="FG743" s="1355"/>
      <c r="FH743" s="1355"/>
      <c r="FI743" s="1356"/>
      <c r="FJ743" s="1354" t="str">
        <f t="shared" si="32"/>
        <v/>
      </c>
      <c r="FK743" s="1355"/>
      <c r="FL743" s="1355"/>
      <c r="FM743" s="1355"/>
      <c r="FN743" s="1356"/>
      <c r="FO743" s="1354" t="str">
        <f t="shared" si="33"/>
        <v/>
      </c>
      <c r="FP743" s="1355"/>
      <c r="FQ743" s="1355"/>
      <c r="FR743" s="1355"/>
      <c r="FS743" s="1356"/>
      <c r="FT743" s="1354" t="str">
        <f t="shared" si="34"/>
        <v/>
      </c>
      <c r="FU743" s="1355"/>
      <c r="FV743" s="1355"/>
      <c r="FW743" s="1355"/>
      <c r="FX743" s="1356"/>
      <c r="FY743" s="1354" t="str">
        <f t="shared" si="35"/>
        <v/>
      </c>
      <c r="FZ743" s="1355"/>
      <c r="GA743" s="1355"/>
      <c r="GB743" s="1355"/>
      <c r="GC743" s="1356"/>
    </row>
    <row r="744" spans="1:185" ht="13" customHeight="1">
      <c r="B744" s="1358"/>
      <c r="C744" s="1359"/>
      <c r="D744" s="1359"/>
      <c r="E744" s="1359"/>
      <c r="F744" s="1360"/>
      <c r="G744" s="1367"/>
      <c r="H744" s="1368"/>
      <c r="I744" s="1368"/>
      <c r="J744" s="1369"/>
      <c r="K744" s="1608"/>
      <c r="L744" s="1609"/>
      <c r="M744" s="1609"/>
      <c r="N744" s="1610"/>
      <c r="O744" s="1471"/>
      <c r="P744" s="1472"/>
      <c r="Q744" s="1472"/>
      <c r="R744" s="1472"/>
      <c r="S744" s="1473"/>
      <c r="T744" s="1471"/>
      <c r="U744" s="1472"/>
      <c r="V744" s="1472"/>
      <c r="W744" s="1473"/>
      <c r="X744" s="1361">
        <f t="shared" si="39"/>
        <v>0</v>
      </c>
      <c r="Y744" s="1362"/>
      <c r="Z744" s="1362"/>
      <c r="AA744" s="1362"/>
      <c r="AB744" s="1363"/>
      <c r="AC744" s="1618"/>
      <c r="AD744" s="1619"/>
      <c r="AE744" s="1619"/>
      <c r="AF744" s="1619"/>
      <c r="AG744" s="1620"/>
      <c r="AH744" s="1364" t="str">
        <f t="shared" si="36"/>
        <v/>
      </c>
      <c r="AI744" s="1365"/>
      <c r="AJ744" s="1366"/>
      <c r="AK744" s="1358" t="s">
        <v>592</v>
      </c>
      <c r="AL744" s="1359"/>
      <c r="AM744" s="1359"/>
      <c r="AN744" s="1359"/>
      <c r="AO744" s="136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4">
        <f t="shared" si="37"/>
        <v>0</v>
      </c>
      <c r="CH744" s="1356"/>
      <c r="CI744" s="1338">
        <f t="shared" si="38"/>
        <v>0</v>
      </c>
      <c r="CJ744" s="1340"/>
      <c r="CK744" s="1354">
        <f t="shared" si="16"/>
        <v>0</v>
      </c>
      <c r="CL744" s="1356"/>
      <c r="CM744" s="1338">
        <f t="shared" si="17"/>
        <v>0</v>
      </c>
      <c r="CN744" s="1340"/>
      <c r="CO744" s="3"/>
      <c r="CP744" s="1335">
        <f t="shared" si="18"/>
        <v>0</v>
      </c>
      <c r="CQ744" s="1336"/>
      <c r="CR744" s="1336"/>
      <c r="CS744" s="1336"/>
      <c r="CT744" s="1337"/>
      <c r="CU744" s="1357">
        <f t="shared" si="19"/>
        <v>0</v>
      </c>
      <c r="CV744" s="1357"/>
      <c r="CW744" s="1357"/>
      <c r="CX744" s="1357"/>
      <c r="CY744" s="1357"/>
      <c r="CZ744" s="1357">
        <f t="shared" si="20"/>
        <v>0</v>
      </c>
      <c r="DA744" s="1357"/>
      <c r="DB744" s="1357"/>
      <c r="DC744" s="1357"/>
      <c r="DD744" s="1357"/>
      <c r="DE744" s="1357">
        <f t="shared" si="21"/>
        <v>0</v>
      </c>
      <c r="DF744" s="1357"/>
      <c r="DG744" s="1357"/>
      <c r="DH744" s="1357"/>
      <c r="DI744" s="1357"/>
      <c r="DJ744" s="1357">
        <f t="shared" si="22"/>
        <v>0</v>
      </c>
      <c r="DK744" s="1357"/>
      <c r="DL744" s="1357"/>
      <c r="DM744" s="1357"/>
      <c r="DN744" s="1357"/>
      <c r="DO744" s="1357">
        <f t="shared" si="23"/>
        <v>0</v>
      </c>
      <c r="DP744" s="1357"/>
      <c r="DQ744" s="1357"/>
      <c r="DR744" s="1357"/>
      <c r="DS744" s="1357"/>
      <c r="DT744" s="6"/>
      <c r="DU744" s="1371">
        <f t="shared" si="24"/>
        <v>0</v>
      </c>
      <c r="DV744" s="1371"/>
      <c r="DW744" s="1371"/>
      <c r="DX744" s="1371"/>
      <c r="DY744" s="1371"/>
      <c r="DZ744" s="1371">
        <f t="shared" si="25"/>
        <v>0</v>
      </c>
      <c r="EA744" s="1371"/>
      <c r="EB744" s="1371"/>
      <c r="EC744" s="1371"/>
      <c r="ED744" s="1371"/>
      <c r="EE744" s="1371">
        <f t="shared" si="26"/>
        <v>0</v>
      </c>
      <c r="EF744" s="1371"/>
      <c r="EG744" s="1371"/>
      <c r="EH744" s="1371"/>
      <c r="EI744" s="1371"/>
      <c r="EJ744" s="1371">
        <f t="shared" si="27"/>
        <v>0</v>
      </c>
      <c r="EK744" s="1371"/>
      <c r="EL744" s="1371"/>
      <c r="EM744" s="1371"/>
      <c r="EN744" s="1371"/>
      <c r="EO744" s="1371">
        <f t="shared" si="28"/>
        <v>0</v>
      </c>
      <c r="EP744" s="1371"/>
      <c r="EQ744" s="1371"/>
      <c r="ER744" s="1371"/>
      <c r="ES744" s="1371"/>
      <c r="ET744" s="1371">
        <f t="shared" si="29"/>
        <v>0</v>
      </c>
      <c r="EU744" s="1371"/>
      <c r="EV744" s="1371"/>
      <c r="EW744" s="1371"/>
      <c r="EX744" s="1371"/>
      <c r="EZ744" s="1354" t="str">
        <f t="shared" si="30"/>
        <v/>
      </c>
      <c r="FA744" s="1355"/>
      <c r="FB744" s="1355"/>
      <c r="FC744" s="1355"/>
      <c r="FD744" s="1356"/>
      <c r="FE744" s="1354" t="str">
        <f t="shared" si="31"/>
        <v/>
      </c>
      <c r="FF744" s="1355"/>
      <c r="FG744" s="1355"/>
      <c r="FH744" s="1355"/>
      <c r="FI744" s="1356"/>
      <c r="FJ744" s="1354" t="str">
        <f t="shared" si="32"/>
        <v/>
      </c>
      <c r="FK744" s="1355"/>
      <c r="FL744" s="1355"/>
      <c r="FM744" s="1355"/>
      <c r="FN744" s="1356"/>
      <c r="FO744" s="1354" t="str">
        <f t="shared" si="33"/>
        <v/>
      </c>
      <c r="FP744" s="1355"/>
      <c r="FQ744" s="1355"/>
      <c r="FR744" s="1355"/>
      <c r="FS744" s="1356"/>
      <c r="FT744" s="1354" t="str">
        <f t="shared" si="34"/>
        <v/>
      </c>
      <c r="FU744" s="1355"/>
      <c r="FV744" s="1355"/>
      <c r="FW744" s="1355"/>
      <c r="FX744" s="1356"/>
      <c r="FY744" s="1354" t="str">
        <f t="shared" si="35"/>
        <v/>
      </c>
      <c r="FZ744" s="1355"/>
      <c r="GA744" s="1355"/>
      <c r="GB744" s="1355"/>
      <c r="GC744" s="1356"/>
    </row>
    <row r="745" spans="1:185" ht="13" customHeight="1">
      <c r="B745" s="1358"/>
      <c r="C745" s="1359"/>
      <c r="D745" s="1359"/>
      <c r="E745" s="1359"/>
      <c r="F745" s="1360"/>
      <c r="G745" s="1367"/>
      <c r="H745" s="1368"/>
      <c r="I745" s="1368"/>
      <c r="J745" s="1369"/>
      <c r="K745" s="1608"/>
      <c r="L745" s="1609"/>
      <c r="M745" s="1609"/>
      <c r="N745" s="1610"/>
      <c r="O745" s="1471"/>
      <c r="P745" s="1472"/>
      <c r="Q745" s="1472"/>
      <c r="R745" s="1472"/>
      <c r="S745" s="1473"/>
      <c r="T745" s="1471"/>
      <c r="U745" s="1472"/>
      <c r="V745" s="1472"/>
      <c r="W745" s="1473"/>
      <c r="X745" s="1361">
        <f t="shared" si="39"/>
        <v>0</v>
      </c>
      <c r="Y745" s="1362"/>
      <c r="Z745" s="1362"/>
      <c r="AA745" s="1362"/>
      <c r="AB745" s="1363"/>
      <c r="AC745" s="1618"/>
      <c r="AD745" s="1619"/>
      <c r="AE745" s="1619"/>
      <c r="AF745" s="1619"/>
      <c r="AG745" s="1620"/>
      <c r="AH745" s="1364" t="str">
        <f t="shared" si="36"/>
        <v/>
      </c>
      <c r="AI745" s="1365"/>
      <c r="AJ745" s="1366"/>
      <c r="AK745" s="1358" t="s">
        <v>592</v>
      </c>
      <c r="AL745" s="1359"/>
      <c r="AM745" s="1359"/>
      <c r="AN745" s="1359"/>
      <c r="AO745" s="136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4">
        <f t="shared" si="37"/>
        <v>0</v>
      </c>
      <c r="CH745" s="1356"/>
      <c r="CI745" s="1338">
        <f t="shared" si="38"/>
        <v>0</v>
      </c>
      <c r="CJ745" s="1340"/>
      <c r="CK745" s="1354">
        <f t="shared" si="16"/>
        <v>0</v>
      </c>
      <c r="CL745" s="1356"/>
      <c r="CM745" s="1338">
        <f t="shared" si="17"/>
        <v>0</v>
      </c>
      <c r="CN745" s="1340"/>
      <c r="CO745" s="3"/>
      <c r="CP745" s="1335">
        <f t="shared" si="18"/>
        <v>0</v>
      </c>
      <c r="CQ745" s="1336"/>
      <c r="CR745" s="1336"/>
      <c r="CS745" s="1336"/>
      <c r="CT745" s="1337"/>
      <c r="CU745" s="1357">
        <f t="shared" si="19"/>
        <v>0</v>
      </c>
      <c r="CV745" s="1357"/>
      <c r="CW745" s="1357"/>
      <c r="CX745" s="1357"/>
      <c r="CY745" s="1357"/>
      <c r="CZ745" s="1357">
        <f t="shared" si="20"/>
        <v>0</v>
      </c>
      <c r="DA745" s="1357"/>
      <c r="DB745" s="1357"/>
      <c r="DC745" s="1357"/>
      <c r="DD745" s="1357"/>
      <c r="DE745" s="1357">
        <f t="shared" si="21"/>
        <v>0</v>
      </c>
      <c r="DF745" s="1357"/>
      <c r="DG745" s="1357"/>
      <c r="DH745" s="1357"/>
      <c r="DI745" s="1357"/>
      <c r="DJ745" s="1357">
        <f t="shared" si="22"/>
        <v>0</v>
      </c>
      <c r="DK745" s="1357"/>
      <c r="DL745" s="1357"/>
      <c r="DM745" s="1357"/>
      <c r="DN745" s="1357"/>
      <c r="DO745" s="1357">
        <f t="shared" si="23"/>
        <v>0</v>
      </c>
      <c r="DP745" s="1357"/>
      <c r="DQ745" s="1357"/>
      <c r="DR745" s="1357"/>
      <c r="DS745" s="1357"/>
      <c r="DT745" s="6"/>
      <c r="DU745" s="1371">
        <f t="shared" si="24"/>
        <v>0</v>
      </c>
      <c r="DV745" s="1371"/>
      <c r="DW745" s="1371"/>
      <c r="DX745" s="1371"/>
      <c r="DY745" s="1371"/>
      <c r="DZ745" s="1371">
        <f t="shared" si="25"/>
        <v>0</v>
      </c>
      <c r="EA745" s="1371"/>
      <c r="EB745" s="1371"/>
      <c r="EC745" s="1371"/>
      <c r="ED745" s="1371"/>
      <c r="EE745" s="1371">
        <f t="shared" si="26"/>
        <v>0</v>
      </c>
      <c r="EF745" s="1371"/>
      <c r="EG745" s="1371"/>
      <c r="EH745" s="1371"/>
      <c r="EI745" s="1371"/>
      <c r="EJ745" s="1371">
        <f t="shared" si="27"/>
        <v>0</v>
      </c>
      <c r="EK745" s="1371"/>
      <c r="EL745" s="1371"/>
      <c r="EM745" s="1371"/>
      <c r="EN745" s="1371"/>
      <c r="EO745" s="1371">
        <f t="shared" si="28"/>
        <v>0</v>
      </c>
      <c r="EP745" s="1371"/>
      <c r="EQ745" s="1371"/>
      <c r="ER745" s="1371"/>
      <c r="ES745" s="1371"/>
      <c r="ET745" s="1371">
        <f t="shared" si="29"/>
        <v>0</v>
      </c>
      <c r="EU745" s="1371"/>
      <c r="EV745" s="1371"/>
      <c r="EW745" s="1371"/>
      <c r="EX745" s="1371"/>
      <c r="EZ745" s="1354" t="str">
        <f t="shared" si="30"/>
        <v/>
      </c>
      <c r="FA745" s="1355"/>
      <c r="FB745" s="1355"/>
      <c r="FC745" s="1355"/>
      <c r="FD745" s="1356"/>
      <c r="FE745" s="1354" t="str">
        <f t="shared" si="31"/>
        <v/>
      </c>
      <c r="FF745" s="1355"/>
      <c r="FG745" s="1355"/>
      <c r="FH745" s="1355"/>
      <c r="FI745" s="1356"/>
      <c r="FJ745" s="1354" t="str">
        <f t="shared" si="32"/>
        <v/>
      </c>
      <c r="FK745" s="1355"/>
      <c r="FL745" s="1355"/>
      <c r="FM745" s="1355"/>
      <c r="FN745" s="1356"/>
      <c r="FO745" s="1354" t="str">
        <f t="shared" si="33"/>
        <v/>
      </c>
      <c r="FP745" s="1355"/>
      <c r="FQ745" s="1355"/>
      <c r="FR745" s="1355"/>
      <c r="FS745" s="1356"/>
      <c r="FT745" s="1354" t="str">
        <f t="shared" si="34"/>
        <v/>
      </c>
      <c r="FU745" s="1355"/>
      <c r="FV745" s="1355"/>
      <c r="FW745" s="1355"/>
      <c r="FX745" s="1356"/>
      <c r="FY745" s="1354" t="str">
        <f t="shared" si="35"/>
        <v/>
      </c>
      <c r="FZ745" s="1355"/>
      <c r="GA745" s="1355"/>
      <c r="GB745" s="1355"/>
      <c r="GC745" s="1356"/>
    </row>
    <row r="746" spans="1:185" ht="13" customHeight="1">
      <c r="B746" s="1358"/>
      <c r="C746" s="1359"/>
      <c r="D746" s="1359"/>
      <c r="E746" s="1359"/>
      <c r="F746" s="1360"/>
      <c r="G746" s="1367"/>
      <c r="H746" s="1368"/>
      <c r="I746" s="1368"/>
      <c r="J746" s="1369"/>
      <c r="K746" s="1608"/>
      <c r="L746" s="1609"/>
      <c r="M746" s="1609"/>
      <c r="N746" s="1610"/>
      <c r="O746" s="1471"/>
      <c r="P746" s="1472"/>
      <c r="Q746" s="1472"/>
      <c r="R746" s="1472"/>
      <c r="S746" s="1473"/>
      <c r="T746" s="1471"/>
      <c r="U746" s="1472"/>
      <c r="V746" s="1472"/>
      <c r="W746" s="1473"/>
      <c r="X746" s="1361">
        <f t="shared" si="39"/>
        <v>0</v>
      </c>
      <c r="Y746" s="1362"/>
      <c r="Z746" s="1362"/>
      <c r="AA746" s="1362"/>
      <c r="AB746" s="1363"/>
      <c r="AC746" s="1618"/>
      <c r="AD746" s="1619"/>
      <c r="AE746" s="1619"/>
      <c r="AF746" s="1619"/>
      <c r="AG746" s="1620"/>
      <c r="AH746" s="1364" t="str">
        <f t="shared" si="36"/>
        <v/>
      </c>
      <c r="AI746" s="1365"/>
      <c r="AJ746" s="1366"/>
      <c r="AK746" s="1358" t="s">
        <v>592</v>
      </c>
      <c r="AL746" s="1359"/>
      <c r="AM746" s="1359"/>
      <c r="AN746" s="1359"/>
      <c r="AO746" s="136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4">
        <f t="shared" si="37"/>
        <v>0</v>
      </c>
      <c r="CH746" s="1356"/>
      <c r="CI746" s="1338">
        <f t="shared" si="38"/>
        <v>0</v>
      </c>
      <c r="CJ746" s="1340"/>
      <c r="CK746" s="1354">
        <f t="shared" si="16"/>
        <v>0</v>
      </c>
      <c r="CL746" s="1356"/>
      <c r="CM746" s="1338">
        <f t="shared" si="17"/>
        <v>0</v>
      </c>
      <c r="CN746" s="1340"/>
      <c r="CO746" s="3"/>
      <c r="CP746" s="1335">
        <f t="shared" si="18"/>
        <v>0</v>
      </c>
      <c r="CQ746" s="1336"/>
      <c r="CR746" s="1336"/>
      <c r="CS746" s="1336"/>
      <c r="CT746" s="1337"/>
      <c r="CU746" s="1357">
        <f t="shared" si="19"/>
        <v>0</v>
      </c>
      <c r="CV746" s="1357"/>
      <c r="CW746" s="1357"/>
      <c r="CX746" s="1357"/>
      <c r="CY746" s="1357"/>
      <c r="CZ746" s="1357">
        <f t="shared" si="20"/>
        <v>0</v>
      </c>
      <c r="DA746" s="1357"/>
      <c r="DB746" s="1357"/>
      <c r="DC746" s="1357"/>
      <c r="DD746" s="1357"/>
      <c r="DE746" s="1357">
        <f t="shared" si="21"/>
        <v>0</v>
      </c>
      <c r="DF746" s="1357"/>
      <c r="DG746" s="1357"/>
      <c r="DH746" s="1357"/>
      <c r="DI746" s="1357"/>
      <c r="DJ746" s="1357">
        <f t="shared" si="22"/>
        <v>0</v>
      </c>
      <c r="DK746" s="1357"/>
      <c r="DL746" s="1357"/>
      <c r="DM746" s="1357"/>
      <c r="DN746" s="1357"/>
      <c r="DO746" s="1357">
        <f t="shared" si="23"/>
        <v>0</v>
      </c>
      <c r="DP746" s="1357"/>
      <c r="DQ746" s="1357"/>
      <c r="DR746" s="1357"/>
      <c r="DS746" s="1357"/>
      <c r="DT746" s="6"/>
      <c r="DU746" s="1371">
        <f t="shared" si="24"/>
        <v>0</v>
      </c>
      <c r="DV746" s="1371"/>
      <c r="DW746" s="1371"/>
      <c r="DX746" s="1371"/>
      <c r="DY746" s="1371"/>
      <c r="DZ746" s="1371">
        <f t="shared" si="25"/>
        <v>0</v>
      </c>
      <c r="EA746" s="1371"/>
      <c r="EB746" s="1371"/>
      <c r="EC746" s="1371"/>
      <c r="ED746" s="1371"/>
      <c r="EE746" s="1371">
        <f t="shared" si="26"/>
        <v>0</v>
      </c>
      <c r="EF746" s="1371"/>
      <c r="EG746" s="1371"/>
      <c r="EH746" s="1371"/>
      <c r="EI746" s="1371"/>
      <c r="EJ746" s="1371">
        <f t="shared" si="27"/>
        <v>0</v>
      </c>
      <c r="EK746" s="1371"/>
      <c r="EL746" s="1371"/>
      <c r="EM746" s="1371"/>
      <c r="EN746" s="1371"/>
      <c r="EO746" s="1371">
        <f t="shared" si="28"/>
        <v>0</v>
      </c>
      <c r="EP746" s="1371"/>
      <c r="EQ746" s="1371"/>
      <c r="ER746" s="1371"/>
      <c r="ES746" s="1371"/>
      <c r="ET746" s="1371">
        <f t="shared" si="29"/>
        <v>0</v>
      </c>
      <c r="EU746" s="1371"/>
      <c r="EV746" s="1371"/>
      <c r="EW746" s="1371"/>
      <c r="EX746" s="1371"/>
      <c r="EZ746" s="1354" t="str">
        <f t="shared" si="30"/>
        <v/>
      </c>
      <c r="FA746" s="1355"/>
      <c r="FB746" s="1355"/>
      <c r="FC746" s="1355"/>
      <c r="FD746" s="1356"/>
      <c r="FE746" s="1354" t="str">
        <f t="shared" si="31"/>
        <v/>
      </c>
      <c r="FF746" s="1355"/>
      <c r="FG746" s="1355"/>
      <c r="FH746" s="1355"/>
      <c r="FI746" s="1356"/>
      <c r="FJ746" s="1354" t="str">
        <f t="shared" si="32"/>
        <v/>
      </c>
      <c r="FK746" s="1355"/>
      <c r="FL746" s="1355"/>
      <c r="FM746" s="1355"/>
      <c r="FN746" s="1356"/>
      <c r="FO746" s="1354" t="str">
        <f t="shared" si="33"/>
        <v/>
      </c>
      <c r="FP746" s="1355"/>
      <c r="FQ746" s="1355"/>
      <c r="FR746" s="1355"/>
      <c r="FS746" s="1356"/>
      <c r="FT746" s="1354" t="str">
        <f t="shared" si="34"/>
        <v/>
      </c>
      <c r="FU746" s="1355"/>
      <c r="FV746" s="1355"/>
      <c r="FW746" s="1355"/>
      <c r="FX746" s="1356"/>
      <c r="FY746" s="1354" t="str">
        <f t="shared" si="35"/>
        <v/>
      </c>
      <c r="FZ746" s="1355"/>
      <c r="GA746" s="1355"/>
      <c r="GB746" s="1355"/>
      <c r="GC746" s="1356"/>
    </row>
    <row r="747" spans="1:185" ht="13" customHeight="1">
      <c r="B747" s="1358"/>
      <c r="C747" s="1359"/>
      <c r="D747" s="1359"/>
      <c r="E747" s="1359"/>
      <c r="F747" s="1360"/>
      <c r="G747" s="1367"/>
      <c r="H747" s="1368"/>
      <c r="I747" s="1368"/>
      <c r="J747" s="1369"/>
      <c r="K747" s="1608"/>
      <c r="L747" s="1609"/>
      <c r="M747" s="1609"/>
      <c r="N747" s="1610"/>
      <c r="O747" s="1471"/>
      <c r="P747" s="1472"/>
      <c r="Q747" s="1472"/>
      <c r="R747" s="1472"/>
      <c r="S747" s="1473"/>
      <c r="T747" s="1471"/>
      <c r="U747" s="1472"/>
      <c r="V747" s="1472"/>
      <c r="W747" s="1473"/>
      <c r="X747" s="1361">
        <f t="shared" si="39"/>
        <v>0</v>
      </c>
      <c r="Y747" s="1362"/>
      <c r="Z747" s="1362"/>
      <c r="AA747" s="1362"/>
      <c r="AB747" s="1363"/>
      <c r="AC747" s="1618"/>
      <c r="AD747" s="1619"/>
      <c r="AE747" s="1619"/>
      <c r="AF747" s="1619"/>
      <c r="AG747" s="1620"/>
      <c r="AH747" s="1364" t="str">
        <f t="shared" si="36"/>
        <v/>
      </c>
      <c r="AI747" s="1365"/>
      <c r="AJ747" s="1366"/>
      <c r="AK747" s="1358" t="s">
        <v>592</v>
      </c>
      <c r="AL747" s="1359"/>
      <c r="AM747" s="1359"/>
      <c r="AN747" s="1359"/>
      <c r="AO747" s="136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4">
        <f t="shared" si="37"/>
        <v>0</v>
      </c>
      <c r="CH747" s="1356"/>
      <c r="CI747" s="1338">
        <f t="shared" si="38"/>
        <v>0</v>
      </c>
      <c r="CJ747" s="1340"/>
      <c r="CK747" s="1354">
        <f t="shared" si="16"/>
        <v>0</v>
      </c>
      <c r="CL747" s="1356"/>
      <c r="CM747" s="1338">
        <f t="shared" si="17"/>
        <v>0</v>
      </c>
      <c r="CN747" s="1340"/>
      <c r="CO747" s="3"/>
      <c r="CP747" s="1335">
        <f t="shared" si="18"/>
        <v>0</v>
      </c>
      <c r="CQ747" s="1336"/>
      <c r="CR747" s="1336"/>
      <c r="CS747" s="1336"/>
      <c r="CT747" s="1337"/>
      <c r="CU747" s="1357">
        <f t="shared" si="19"/>
        <v>0</v>
      </c>
      <c r="CV747" s="1357"/>
      <c r="CW747" s="1357"/>
      <c r="CX747" s="1357"/>
      <c r="CY747" s="1357"/>
      <c r="CZ747" s="1357">
        <f t="shared" si="20"/>
        <v>0</v>
      </c>
      <c r="DA747" s="1357"/>
      <c r="DB747" s="1357"/>
      <c r="DC747" s="1357"/>
      <c r="DD747" s="1357"/>
      <c r="DE747" s="1357">
        <f t="shared" si="21"/>
        <v>0</v>
      </c>
      <c r="DF747" s="1357"/>
      <c r="DG747" s="1357"/>
      <c r="DH747" s="1357"/>
      <c r="DI747" s="1357"/>
      <c r="DJ747" s="1357">
        <f t="shared" si="22"/>
        <v>0</v>
      </c>
      <c r="DK747" s="1357"/>
      <c r="DL747" s="1357"/>
      <c r="DM747" s="1357"/>
      <c r="DN747" s="1357"/>
      <c r="DO747" s="1357">
        <f t="shared" si="23"/>
        <v>0</v>
      </c>
      <c r="DP747" s="1357"/>
      <c r="DQ747" s="1357"/>
      <c r="DR747" s="1357"/>
      <c r="DS747" s="1357"/>
      <c r="DT747" s="6"/>
      <c r="DU747" s="1371">
        <f t="shared" si="24"/>
        <v>0</v>
      </c>
      <c r="DV747" s="1371"/>
      <c r="DW747" s="1371"/>
      <c r="DX747" s="1371"/>
      <c r="DY747" s="1371"/>
      <c r="DZ747" s="1371">
        <f t="shared" si="25"/>
        <v>0</v>
      </c>
      <c r="EA747" s="1371"/>
      <c r="EB747" s="1371"/>
      <c r="EC747" s="1371"/>
      <c r="ED747" s="1371"/>
      <c r="EE747" s="1371">
        <f t="shared" si="26"/>
        <v>0</v>
      </c>
      <c r="EF747" s="1371"/>
      <c r="EG747" s="1371"/>
      <c r="EH747" s="1371"/>
      <c r="EI747" s="1371"/>
      <c r="EJ747" s="1371">
        <f t="shared" si="27"/>
        <v>0</v>
      </c>
      <c r="EK747" s="1371"/>
      <c r="EL747" s="1371"/>
      <c r="EM747" s="1371"/>
      <c r="EN747" s="1371"/>
      <c r="EO747" s="1371">
        <f t="shared" si="28"/>
        <v>0</v>
      </c>
      <c r="EP747" s="1371"/>
      <c r="EQ747" s="1371"/>
      <c r="ER747" s="1371"/>
      <c r="ES747" s="1371"/>
      <c r="ET747" s="1371">
        <f t="shared" si="29"/>
        <v>0</v>
      </c>
      <c r="EU747" s="1371"/>
      <c r="EV747" s="1371"/>
      <c r="EW747" s="1371"/>
      <c r="EX747" s="1371"/>
      <c r="EZ747" s="1354" t="str">
        <f t="shared" si="30"/>
        <v/>
      </c>
      <c r="FA747" s="1355"/>
      <c r="FB747" s="1355"/>
      <c r="FC747" s="1355"/>
      <c r="FD747" s="1356"/>
      <c r="FE747" s="1354" t="str">
        <f t="shared" si="31"/>
        <v/>
      </c>
      <c r="FF747" s="1355"/>
      <c r="FG747" s="1355"/>
      <c r="FH747" s="1355"/>
      <c r="FI747" s="1356"/>
      <c r="FJ747" s="1354" t="str">
        <f t="shared" si="32"/>
        <v/>
      </c>
      <c r="FK747" s="1355"/>
      <c r="FL747" s="1355"/>
      <c r="FM747" s="1355"/>
      <c r="FN747" s="1356"/>
      <c r="FO747" s="1354" t="str">
        <f t="shared" si="33"/>
        <v/>
      </c>
      <c r="FP747" s="1355"/>
      <c r="FQ747" s="1355"/>
      <c r="FR747" s="1355"/>
      <c r="FS747" s="1356"/>
      <c r="FT747" s="1354" t="str">
        <f t="shared" si="34"/>
        <v/>
      </c>
      <c r="FU747" s="1355"/>
      <c r="FV747" s="1355"/>
      <c r="FW747" s="1355"/>
      <c r="FX747" s="1356"/>
      <c r="FY747" s="1354" t="str">
        <f t="shared" si="35"/>
        <v/>
      </c>
      <c r="FZ747" s="1355"/>
      <c r="GA747" s="1355"/>
      <c r="GB747" s="1355"/>
      <c r="GC747" s="1356"/>
    </row>
    <row r="748" spans="1:185" s="3" customFormat="1" ht="13" customHeight="1">
      <c r="A748"/>
      <c r="B748" s="1358"/>
      <c r="C748" s="1359"/>
      <c r="D748" s="1359"/>
      <c r="E748" s="1359"/>
      <c r="F748" s="1360"/>
      <c r="G748" s="1367"/>
      <c r="H748" s="1368"/>
      <c r="I748" s="1368"/>
      <c r="J748" s="1369"/>
      <c r="K748" s="1608"/>
      <c r="L748" s="1609"/>
      <c r="M748" s="1609"/>
      <c r="N748" s="1610"/>
      <c r="O748" s="1471"/>
      <c r="P748" s="1472"/>
      <c r="Q748" s="1472"/>
      <c r="R748" s="1472"/>
      <c r="S748" s="1473"/>
      <c r="T748" s="1471"/>
      <c r="U748" s="1472"/>
      <c r="V748" s="1472"/>
      <c r="W748" s="1473"/>
      <c r="X748" s="1361">
        <f t="shared" si="39"/>
        <v>0</v>
      </c>
      <c r="Y748" s="1362"/>
      <c r="Z748" s="1362"/>
      <c r="AA748" s="1362"/>
      <c r="AB748" s="1363"/>
      <c r="AC748" s="1618"/>
      <c r="AD748" s="1619"/>
      <c r="AE748" s="1619"/>
      <c r="AF748" s="1619"/>
      <c r="AG748" s="1620"/>
      <c r="AH748" s="1364" t="str">
        <f t="shared" si="36"/>
        <v/>
      </c>
      <c r="AI748" s="1365"/>
      <c r="AJ748" s="1366"/>
      <c r="AK748" s="1358" t="s">
        <v>592</v>
      </c>
      <c r="AL748" s="1359"/>
      <c r="AM748" s="1359"/>
      <c r="AN748" s="1359"/>
      <c r="AO748" s="136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4">
        <f t="shared" si="37"/>
        <v>0</v>
      </c>
      <c r="CH748" s="1356"/>
      <c r="CI748" s="1338">
        <f t="shared" si="38"/>
        <v>0</v>
      </c>
      <c r="CJ748" s="1340"/>
      <c r="CK748" s="1354">
        <f t="shared" si="16"/>
        <v>0</v>
      </c>
      <c r="CL748" s="1356"/>
      <c r="CM748" s="1338">
        <f t="shared" si="17"/>
        <v>0</v>
      </c>
      <c r="CN748" s="1340"/>
      <c r="CP748" s="1335">
        <f t="shared" si="18"/>
        <v>0</v>
      </c>
      <c r="CQ748" s="1336"/>
      <c r="CR748" s="1336"/>
      <c r="CS748" s="1336"/>
      <c r="CT748" s="1337"/>
      <c r="CU748" s="1357">
        <f t="shared" si="19"/>
        <v>0</v>
      </c>
      <c r="CV748" s="1357"/>
      <c r="CW748" s="1357"/>
      <c r="CX748" s="1357"/>
      <c r="CY748" s="1357"/>
      <c r="CZ748" s="1357">
        <f t="shared" si="20"/>
        <v>0</v>
      </c>
      <c r="DA748" s="1357"/>
      <c r="DB748" s="1357"/>
      <c r="DC748" s="1357"/>
      <c r="DD748" s="1357"/>
      <c r="DE748" s="1357">
        <f t="shared" si="21"/>
        <v>0</v>
      </c>
      <c r="DF748" s="1357"/>
      <c r="DG748" s="1357"/>
      <c r="DH748" s="1357"/>
      <c r="DI748" s="1357"/>
      <c r="DJ748" s="1357">
        <f t="shared" si="22"/>
        <v>0</v>
      </c>
      <c r="DK748" s="1357"/>
      <c r="DL748" s="1357"/>
      <c r="DM748" s="1357"/>
      <c r="DN748" s="1357"/>
      <c r="DO748" s="1357">
        <f t="shared" si="23"/>
        <v>0</v>
      </c>
      <c r="DP748" s="1357"/>
      <c r="DQ748" s="1357"/>
      <c r="DR748" s="1357"/>
      <c r="DS748" s="1357"/>
      <c r="DT748" s="6"/>
      <c r="DU748" s="1371">
        <f t="shared" si="24"/>
        <v>0</v>
      </c>
      <c r="DV748" s="1371"/>
      <c r="DW748" s="1371"/>
      <c r="DX748" s="1371"/>
      <c r="DY748" s="1371"/>
      <c r="DZ748" s="1371">
        <f t="shared" si="25"/>
        <v>0</v>
      </c>
      <c r="EA748" s="1371"/>
      <c r="EB748" s="1371"/>
      <c r="EC748" s="1371"/>
      <c r="ED748" s="1371"/>
      <c r="EE748" s="1371">
        <f t="shared" si="26"/>
        <v>0</v>
      </c>
      <c r="EF748" s="1371"/>
      <c r="EG748" s="1371"/>
      <c r="EH748" s="1371"/>
      <c r="EI748" s="1371"/>
      <c r="EJ748" s="1371">
        <f t="shared" si="27"/>
        <v>0</v>
      </c>
      <c r="EK748" s="1371"/>
      <c r="EL748" s="1371"/>
      <c r="EM748" s="1371"/>
      <c r="EN748" s="1371"/>
      <c r="EO748" s="1371">
        <f t="shared" si="28"/>
        <v>0</v>
      </c>
      <c r="EP748" s="1371"/>
      <c r="EQ748" s="1371"/>
      <c r="ER748" s="1371"/>
      <c r="ES748" s="1371"/>
      <c r="ET748" s="1371">
        <f t="shared" si="29"/>
        <v>0</v>
      </c>
      <c r="EU748" s="1371"/>
      <c r="EV748" s="1371"/>
      <c r="EW748" s="1371"/>
      <c r="EX748" s="1371"/>
      <c r="EY748"/>
      <c r="EZ748" s="1354" t="str">
        <f t="shared" si="30"/>
        <v/>
      </c>
      <c r="FA748" s="1355"/>
      <c r="FB748" s="1355"/>
      <c r="FC748" s="1355"/>
      <c r="FD748" s="1356"/>
      <c r="FE748" s="1354" t="str">
        <f t="shared" si="31"/>
        <v/>
      </c>
      <c r="FF748" s="1355"/>
      <c r="FG748" s="1355"/>
      <c r="FH748" s="1355"/>
      <c r="FI748" s="1356"/>
      <c r="FJ748" s="1354" t="str">
        <f t="shared" si="32"/>
        <v/>
      </c>
      <c r="FK748" s="1355"/>
      <c r="FL748" s="1355"/>
      <c r="FM748" s="1355"/>
      <c r="FN748" s="1356"/>
      <c r="FO748" s="1354" t="str">
        <f t="shared" si="33"/>
        <v/>
      </c>
      <c r="FP748" s="1355"/>
      <c r="FQ748" s="1355"/>
      <c r="FR748" s="1355"/>
      <c r="FS748" s="1356"/>
      <c r="FT748" s="1354" t="str">
        <f t="shared" si="34"/>
        <v/>
      </c>
      <c r="FU748" s="1355"/>
      <c r="FV748" s="1355"/>
      <c r="FW748" s="1355"/>
      <c r="FX748" s="1356"/>
      <c r="FY748" s="1354" t="str">
        <f t="shared" si="35"/>
        <v/>
      </c>
      <c r="FZ748" s="1355"/>
      <c r="GA748" s="1355"/>
      <c r="GB748" s="1355"/>
      <c r="GC748" s="1356"/>
    </row>
    <row r="749" spans="1:185" s="3" customFormat="1" ht="13" customHeight="1">
      <c r="A749"/>
      <c r="B749" s="1358"/>
      <c r="C749" s="1359"/>
      <c r="D749" s="1359"/>
      <c r="E749" s="1359"/>
      <c r="F749" s="1360"/>
      <c r="G749" s="1367"/>
      <c r="H749" s="1368"/>
      <c r="I749" s="1368"/>
      <c r="J749" s="1369"/>
      <c r="K749" s="1608"/>
      <c r="L749" s="1609"/>
      <c r="M749" s="1609"/>
      <c r="N749" s="1610"/>
      <c r="O749" s="1471"/>
      <c r="P749" s="1472"/>
      <c r="Q749" s="1472"/>
      <c r="R749" s="1472"/>
      <c r="S749" s="1473"/>
      <c r="T749" s="1471"/>
      <c r="U749" s="1472"/>
      <c r="V749" s="1472"/>
      <c r="W749" s="1473"/>
      <c r="X749" s="1361">
        <f t="shared" si="39"/>
        <v>0</v>
      </c>
      <c r="Y749" s="1362"/>
      <c r="Z749" s="1362"/>
      <c r="AA749" s="1362"/>
      <c r="AB749" s="1363"/>
      <c r="AC749" s="1618"/>
      <c r="AD749" s="1619"/>
      <c r="AE749" s="1619"/>
      <c r="AF749" s="1619"/>
      <c r="AG749" s="1620"/>
      <c r="AH749" s="1364" t="str">
        <f t="shared" si="36"/>
        <v/>
      </c>
      <c r="AI749" s="1365"/>
      <c r="AJ749" s="1366"/>
      <c r="AK749" s="1358" t="s">
        <v>592</v>
      </c>
      <c r="AL749" s="1359"/>
      <c r="AM749" s="1359"/>
      <c r="AN749" s="1359"/>
      <c r="AO749" s="136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4">
        <f t="shared" si="37"/>
        <v>0</v>
      </c>
      <c r="CH749" s="1356"/>
      <c r="CI749" s="1338">
        <f t="shared" si="38"/>
        <v>0</v>
      </c>
      <c r="CJ749" s="1340"/>
      <c r="CK749" s="1354">
        <f t="shared" si="16"/>
        <v>0</v>
      </c>
      <c r="CL749" s="1356"/>
      <c r="CM749" s="1338">
        <f t="shared" si="17"/>
        <v>0</v>
      </c>
      <c r="CN749" s="1340"/>
      <c r="CP749" s="1335">
        <f t="shared" si="18"/>
        <v>0</v>
      </c>
      <c r="CQ749" s="1336"/>
      <c r="CR749" s="1336"/>
      <c r="CS749" s="1336"/>
      <c r="CT749" s="1337"/>
      <c r="CU749" s="1357">
        <f t="shared" si="19"/>
        <v>0</v>
      </c>
      <c r="CV749" s="1357"/>
      <c r="CW749" s="1357"/>
      <c r="CX749" s="1357"/>
      <c r="CY749" s="1357"/>
      <c r="CZ749" s="1357">
        <f t="shared" si="20"/>
        <v>0</v>
      </c>
      <c r="DA749" s="1357"/>
      <c r="DB749" s="1357"/>
      <c r="DC749" s="1357"/>
      <c r="DD749" s="1357"/>
      <c r="DE749" s="1357">
        <f t="shared" si="21"/>
        <v>0</v>
      </c>
      <c r="DF749" s="1357"/>
      <c r="DG749" s="1357"/>
      <c r="DH749" s="1357"/>
      <c r="DI749" s="1357"/>
      <c r="DJ749" s="1357">
        <f t="shared" si="22"/>
        <v>0</v>
      </c>
      <c r="DK749" s="1357"/>
      <c r="DL749" s="1357"/>
      <c r="DM749" s="1357"/>
      <c r="DN749" s="1357"/>
      <c r="DO749" s="1357">
        <f t="shared" si="23"/>
        <v>0</v>
      </c>
      <c r="DP749" s="1357"/>
      <c r="DQ749" s="1357"/>
      <c r="DR749" s="1357"/>
      <c r="DS749" s="1357"/>
      <c r="DT749" s="6"/>
      <c r="DU749" s="1371">
        <f t="shared" si="24"/>
        <v>0</v>
      </c>
      <c r="DV749" s="1371"/>
      <c r="DW749" s="1371"/>
      <c r="DX749" s="1371"/>
      <c r="DY749" s="1371"/>
      <c r="DZ749" s="1371">
        <f t="shared" si="25"/>
        <v>0</v>
      </c>
      <c r="EA749" s="1371"/>
      <c r="EB749" s="1371"/>
      <c r="EC749" s="1371"/>
      <c r="ED749" s="1371"/>
      <c r="EE749" s="1371">
        <f t="shared" si="26"/>
        <v>0</v>
      </c>
      <c r="EF749" s="1371"/>
      <c r="EG749" s="1371"/>
      <c r="EH749" s="1371"/>
      <c r="EI749" s="1371"/>
      <c r="EJ749" s="1371">
        <f t="shared" si="27"/>
        <v>0</v>
      </c>
      <c r="EK749" s="1371"/>
      <c r="EL749" s="1371"/>
      <c r="EM749" s="1371"/>
      <c r="EN749" s="1371"/>
      <c r="EO749" s="1371">
        <f t="shared" si="28"/>
        <v>0</v>
      </c>
      <c r="EP749" s="1371"/>
      <c r="EQ749" s="1371"/>
      <c r="ER749" s="1371"/>
      <c r="ES749" s="1371"/>
      <c r="ET749" s="1371">
        <f t="shared" si="29"/>
        <v>0</v>
      </c>
      <c r="EU749" s="1371"/>
      <c r="EV749" s="1371"/>
      <c r="EW749" s="1371"/>
      <c r="EX749" s="1371"/>
      <c r="EY749"/>
      <c r="EZ749" s="1354" t="str">
        <f t="shared" si="30"/>
        <v/>
      </c>
      <c r="FA749" s="1355"/>
      <c r="FB749" s="1355"/>
      <c r="FC749" s="1355"/>
      <c r="FD749" s="1356"/>
      <c r="FE749" s="1354" t="str">
        <f t="shared" si="31"/>
        <v/>
      </c>
      <c r="FF749" s="1355"/>
      <c r="FG749" s="1355"/>
      <c r="FH749" s="1355"/>
      <c r="FI749" s="1356"/>
      <c r="FJ749" s="1354" t="str">
        <f t="shared" si="32"/>
        <v/>
      </c>
      <c r="FK749" s="1355"/>
      <c r="FL749" s="1355"/>
      <c r="FM749" s="1355"/>
      <c r="FN749" s="1356"/>
      <c r="FO749" s="1354" t="str">
        <f t="shared" si="33"/>
        <v/>
      </c>
      <c r="FP749" s="1355"/>
      <c r="FQ749" s="1355"/>
      <c r="FR749" s="1355"/>
      <c r="FS749" s="1356"/>
      <c r="FT749" s="1354" t="str">
        <f t="shared" si="34"/>
        <v/>
      </c>
      <c r="FU749" s="1355"/>
      <c r="FV749" s="1355"/>
      <c r="FW749" s="1355"/>
      <c r="FX749" s="1356"/>
      <c r="FY749" s="1354" t="str">
        <f t="shared" si="35"/>
        <v/>
      </c>
      <c r="FZ749" s="1355"/>
      <c r="GA749" s="1355"/>
      <c r="GB749" s="1355"/>
      <c r="GC749" s="1356"/>
    </row>
    <row r="750" spans="1:185" s="3" customFormat="1" ht="13" customHeight="1">
      <c r="A750"/>
      <c r="B750" s="1358"/>
      <c r="C750" s="1359"/>
      <c r="D750" s="1359"/>
      <c r="E750" s="1359"/>
      <c r="F750" s="1360"/>
      <c r="G750" s="1367"/>
      <c r="H750" s="1368"/>
      <c r="I750" s="1368"/>
      <c r="J750" s="1369"/>
      <c r="K750" s="1608"/>
      <c r="L750" s="1609"/>
      <c r="M750" s="1609"/>
      <c r="N750" s="1610"/>
      <c r="O750" s="1471"/>
      <c r="P750" s="1472"/>
      <c r="Q750" s="1472"/>
      <c r="R750" s="1472"/>
      <c r="S750" s="1473"/>
      <c r="T750" s="1471"/>
      <c r="U750" s="1472"/>
      <c r="V750" s="1472"/>
      <c r="W750" s="1473"/>
      <c r="X750" s="1361">
        <f t="shared" si="39"/>
        <v>0</v>
      </c>
      <c r="Y750" s="1362"/>
      <c r="Z750" s="1362"/>
      <c r="AA750" s="1362"/>
      <c r="AB750" s="1363"/>
      <c r="AC750" s="1618"/>
      <c r="AD750" s="1619"/>
      <c r="AE750" s="1619"/>
      <c r="AF750" s="1619"/>
      <c r="AG750" s="1620"/>
      <c r="AH750" s="1364" t="str">
        <f t="shared" si="36"/>
        <v/>
      </c>
      <c r="AI750" s="1365"/>
      <c r="AJ750" s="1366"/>
      <c r="AK750" s="1358" t="s">
        <v>592</v>
      </c>
      <c r="AL750" s="1359"/>
      <c r="AM750" s="1359"/>
      <c r="AN750" s="1359"/>
      <c r="AO750" s="136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4">
        <f t="shared" si="37"/>
        <v>0</v>
      </c>
      <c r="CH750" s="1356"/>
      <c r="CI750" s="1338">
        <f t="shared" si="38"/>
        <v>0</v>
      </c>
      <c r="CJ750" s="1340"/>
      <c r="CK750" s="1354">
        <f t="shared" si="16"/>
        <v>0</v>
      </c>
      <c r="CL750" s="1356"/>
      <c r="CM750" s="1338">
        <f t="shared" si="17"/>
        <v>0</v>
      </c>
      <c r="CN750" s="1340"/>
      <c r="CP750" s="1335">
        <f t="shared" si="18"/>
        <v>0</v>
      </c>
      <c r="CQ750" s="1336"/>
      <c r="CR750" s="1336"/>
      <c r="CS750" s="1336"/>
      <c r="CT750" s="1337"/>
      <c r="CU750" s="1357">
        <f t="shared" si="19"/>
        <v>0</v>
      </c>
      <c r="CV750" s="1357"/>
      <c r="CW750" s="1357"/>
      <c r="CX750" s="1357"/>
      <c r="CY750" s="1357"/>
      <c r="CZ750" s="1357">
        <f t="shared" si="20"/>
        <v>0</v>
      </c>
      <c r="DA750" s="1357"/>
      <c r="DB750" s="1357"/>
      <c r="DC750" s="1357"/>
      <c r="DD750" s="1357"/>
      <c r="DE750" s="1357">
        <f t="shared" si="21"/>
        <v>0</v>
      </c>
      <c r="DF750" s="1357"/>
      <c r="DG750" s="1357"/>
      <c r="DH750" s="1357"/>
      <c r="DI750" s="1357"/>
      <c r="DJ750" s="1357">
        <f t="shared" si="22"/>
        <v>0</v>
      </c>
      <c r="DK750" s="1357"/>
      <c r="DL750" s="1357"/>
      <c r="DM750" s="1357"/>
      <c r="DN750" s="1357"/>
      <c r="DO750" s="1357">
        <f t="shared" si="23"/>
        <v>0</v>
      </c>
      <c r="DP750" s="1357"/>
      <c r="DQ750" s="1357"/>
      <c r="DR750" s="1357"/>
      <c r="DS750" s="1357"/>
      <c r="DT750" s="6"/>
      <c r="DU750" s="1371">
        <f t="shared" si="24"/>
        <v>0</v>
      </c>
      <c r="DV750" s="1371"/>
      <c r="DW750" s="1371"/>
      <c r="DX750" s="1371"/>
      <c r="DY750" s="1371"/>
      <c r="DZ750" s="1371">
        <f t="shared" si="25"/>
        <v>0</v>
      </c>
      <c r="EA750" s="1371"/>
      <c r="EB750" s="1371"/>
      <c r="EC750" s="1371"/>
      <c r="ED750" s="1371"/>
      <c r="EE750" s="1371">
        <f t="shared" si="26"/>
        <v>0</v>
      </c>
      <c r="EF750" s="1371"/>
      <c r="EG750" s="1371"/>
      <c r="EH750" s="1371"/>
      <c r="EI750" s="1371"/>
      <c r="EJ750" s="1371">
        <f t="shared" si="27"/>
        <v>0</v>
      </c>
      <c r="EK750" s="1371"/>
      <c r="EL750" s="1371"/>
      <c r="EM750" s="1371"/>
      <c r="EN750" s="1371"/>
      <c r="EO750" s="1371">
        <f t="shared" si="28"/>
        <v>0</v>
      </c>
      <c r="EP750" s="1371"/>
      <c r="EQ750" s="1371"/>
      <c r="ER750" s="1371"/>
      <c r="ES750" s="1371"/>
      <c r="ET750" s="1371">
        <f t="shared" si="29"/>
        <v>0</v>
      </c>
      <c r="EU750" s="1371"/>
      <c r="EV750" s="1371"/>
      <c r="EW750" s="1371"/>
      <c r="EX750" s="1371"/>
      <c r="EY750"/>
      <c r="EZ750" s="1354" t="str">
        <f t="shared" si="30"/>
        <v/>
      </c>
      <c r="FA750" s="1355"/>
      <c r="FB750" s="1355"/>
      <c r="FC750" s="1355"/>
      <c r="FD750" s="1356"/>
      <c r="FE750" s="1354" t="str">
        <f t="shared" si="31"/>
        <v/>
      </c>
      <c r="FF750" s="1355"/>
      <c r="FG750" s="1355"/>
      <c r="FH750" s="1355"/>
      <c r="FI750" s="1356"/>
      <c r="FJ750" s="1354" t="str">
        <f t="shared" si="32"/>
        <v/>
      </c>
      <c r="FK750" s="1355"/>
      <c r="FL750" s="1355"/>
      <c r="FM750" s="1355"/>
      <c r="FN750" s="1356"/>
      <c r="FO750" s="1354" t="str">
        <f t="shared" si="33"/>
        <v/>
      </c>
      <c r="FP750" s="1355"/>
      <c r="FQ750" s="1355"/>
      <c r="FR750" s="1355"/>
      <c r="FS750" s="1356"/>
      <c r="FT750" s="1354" t="str">
        <f t="shared" si="34"/>
        <v/>
      </c>
      <c r="FU750" s="1355"/>
      <c r="FV750" s="1355"/>
      <c r="FW750" s="1355"/>
      <c r="FX750" s="1356"/>
      <c r="FY750" s="1354" t="str">
        <f t="shared" si="35"/>
        <v/>
      </c>
      <c r="FZ750" s="1355"/>
      <c r="GA750" s="1355"/>
      <c r="GB750" s="1355"/>
      <c r="GC750" s="1356"/>
    </row>
    <row r="751" spans="1:185" s="3" customFormat="1" ht="13" customHeight="1">
      <c r="A751"/>
      <c r="B751" s="1358"/>
      <c r="C751" s="1359"/>
      <c r="D751" s="1359"/>
      <c r="E751" s="1359"/>
      <c r="F751" s="1360"/>
      <c r="G751" s="1367"/>
      <c r="H751" s="1368"/>
      <c r="I751" s="1368"/>
      <c r="J751" s="1369"/>
      <c r="K751" s="1608"/>
      <c r="L751" s="1609"/>
      <c r="M751" s="1609"/>
      <c r="N751" s="1610"/>
      <c r="O751" s="1471"/>
      <c r="P751" s="1472"/>
      <c r="Q751" s="1472"/>
      <c r="R751" s="1472"/>
      <c r="S751" s="1473"/>
      <c r="T751" s="1471"/>
      <c r="U751" s="1472"/>
      <c r="V751" s="1472"/>
      <c r="W751" s="1473"/>
      <c r="X751" s="1361">
        <f t="shared" si="39"/>
        <v>0</v>
      </c>
      <c r="Y751" s="1362"/>
      <c r="Z751" s="1362"/>
      <c r="AA751" s="1362"/>
      <c r="AB751" s="1363"/>
      <c r="AC751" s="1618"/>
      <c r="AD751" s="1619"/>
      <c r="AE751" s="1619"/>
      <c r="AF751" s="1619"/>
      <c r="AG751" s="1620"/>
      <c r="AH751" s="1364" t="str">
        <f t="shared" si="36"/>
        <v/>
      </c>
      <c r="AI751" s="1365"/>
      <c r="AJ751" s="1366"/>
      <c r="AK751" s="1358" t="s">
        <v>592</v>
      </c>
      <c r="AL751" s="1359"/>
      <c r="AM751" s="1359"/>
      <c r="AN751" s="1359"/>
      <c r="AO751" s="136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4">
        <f t="shared" si="37"/>
        <v>0</v>
      </c>
      <c r="CH751" s="1356"/>
      <c r="CI751" s="1338">
        <f t="shared" si="38"/>
        <v>0</v>
      </c>
      <c r="CJ751" s="1340"/>
      <c r="CK751" s="1354">
        <f t="shared" si="16"/>
        <v>0</v>
      </c>
      <c r="CL751" s="1356"/>
      <c r="CM751" s="1338">
        <f t="shared" si="17"/>
        <v>0</v>
      </c>
      <c r="CN751" s="1340"/>
      <c r="CP751" s="1335">
        <f t="shared" si="18"/>
        <v>0</v>
      </c>
      <c r="CQ751" s="1336"/>
      <c r="CR751" s="1336"/>
      <c r="CS751" s="1336"/>
      <c r="CT751" s="1337"/>
      <c r="CU751" s="1357">
        <f t="shared" si="19"/>
        <v>0</v>
      </c>
      <c r="CV751" s="1357"/>
      <c r="CW751" s="1357"/>
      <c r="CX751" s="1357"/>
      <c r="CY751" s="1357"/>
      <c r="CZ751" s="1357">
        <f t="shared" si="20"/>
        <v>0</v>
      </c>
      <c r="DA751" s="1357"/>
      <c r="DB751" s="1357"/>
      <c r="DC751" s="1357"/>
      <c r="DD751" s="1357"/>
      <c r="DE751" s="1357">
        <f t="shared" si="21"/>
        <v>0</v>
      </c>
      <c r="DF751" s="1357"/>
      <c r="DG751" s="1357"/>
      <c r="DH751" s="1357"/>
      <c r="DI751" s="1357"/>
      <c r="DJ751" s="1357">
        <f t="shared" si="22"/>
        <v>0</v>
      </c>
      <c r="DK751" s="1357"/>
      <c r="DL751" s="1357"/>
      <c r="DM751" s="1357"/>
      <c r="DN751" s="1357"/>
      <c r="DO751" s="1357">
        <f t="shared" si="23"/>
        <v>0</v>
      </c>
      <c r="DP751" s="1357"/>
      <c r="DQ751" s="1357"/>
      <c r="DR751" s="1357"/>
      <c r="DS751" s="1357"/>
      <c r="DT751" s="6"/>
      <c r="DU751" s="1371">
        <f t="shared" si="24"/>
        <v>0</v>
      </c>
      <c r="DV751" s="1371"/>
      <c r="DW751" s="1371"/>
      <c r="DX751" s="1371"/>
      <c r="DY751" s="1371"/>
      <c r="DZ751" s="1371">
        <f t="shared" si="25"/>
        <v>0</v>
      </c>
      <c r="EA751" s="1371"/>
      <c r="EB751" s="1371"/>
      <c r="EC751" s="1371"/>
      <c r="ED751" s="1371"/>
      <c r="EE751" s="1371">
        <f t="shared" si="26"/>
        <v>0</v>
      </c>
      <c r="EF751" s="1371"/>
      <c r="EG751" s="1371"/>
      <c r="EH751" s="1371"/>
      <c r="EI751" s="1371"/>
      <c r="EJ751" s="1371">
        <f t="shared" si="27"/>
        <v>0</v>
      </c>
      <c r="EK751" s="1371"/>
      <c r="EL751" s="1371"/>
      <c r="EM751" s="1371"/>
      <c r="EN751" s="1371"/>
      <c r="EO751" s="1371">
        <f t="shared" si="28"/>
        <v>0</v>
      </c>
      <c r="EP751" s="1371"/>
      <c r="EQ751" s="1371"/>
      <c r="ER751" s="1371"/>
      <c r="ES751" s="1371"/>
      <c r="ET751" s="1371">
        <f t="shared" si="29"/>
        <v>0</v>
      </c>
      <c r="EU751" s="1371"/>
      <c r="EV751" s="1371"/>
      <c r="EW751" s="1371"/>
      <c r="EX751" s="1371"/>
      <c r="EY751"/>
      <c r="EZ751" s="1354" t="str">
        <f t="shared" si="30"/>
        <v/>
      </c>
      <c r="FA751" s="1355"/>
      <c r="FB751" s="1355"/>
      <c r="FC751" s="1355"/>
      <c r="FD751" s="1356"/>
      <c r="FE751" s="1354" t="str">
        <f t="shared" si="31"/>
        <v/>
      </c>
      <c r="FF751" s="1355"/>
      <c r="FG751" s="1355"/>
      <c r="FH751" s="1355"/>
      <c r="FI751" s="1356"/>
      <c r="FJ751" s="1354" t="str">
        <f t="shared" si="32"/>
        <v/>
      </c>
      <c r="FK751" s="1355"/>
      <c r="FL751" s="1355"/>
      <c r="FM751" s="1355"/>
      <c r="FN751" s="1356"/>
      <c r="FO751" s="1354" t="str">
        <f t="shared" si="33"/>
        <v/>
      </c>
      <c r="FP751" s="1355"/>
      <c r="FQ751" s="1355"/>
      <c r="FR751" s="1355"/>
      <c r="FS751" s="1356"/>
      <c r="FT751" s="1354" t="str">
        <f t="shared" si="34"/>
        <v/>
      </c>
      <c r="FU751" s="1355"/>
      <c r="FV751" s="1355"/>
      <c r="FW751" s="1355"/>
      <c r="FX751" s="1356"/>
      <c r="FY751" s="1354" t="str">
        <f t="shared" si="35"/>
        <v/>
      </c>
      <c r="FZ751" s="1355"/>
      <c r="GA751" s="1355"/>
      <c r="GB751" s="1355"/>
      <c r="GC751" s="1356"/>
    </row>
    <row r="752" spans="1:185" s="3" customFormat="1" ht="13" customHeight="1">
      <c r="A752"/>
      <c r="B752" s="1358"/>
      <c r="C752" s="1359"/>
      <c r="D752" s="1359"/>
      <c r="E752" s="1359"/>
      <c r="F752" s="1360"/>
      <c r="G752" s="1367"/>
      <c r="H752" s="1368"/>
      <c r="I752" s="1368"/>
      <c r="J752" s="1369"/>
      <c r="K752" s="1608"/>
      <c r="L752" s="1609"/>
      <c r="M752" s="1609"/>
      <c r="N752" s="1610"/>
      <c r="O752" s="1471"/>
      <c r="P752" s="1472"/>
      <c r="Q752" s="1472"/>
      <c r="R752" s="1472"/>
      <c r="S752" s="1473"/>
      <c r="T752" s="1471"/>
      <c r="U752" s="1472"/>
      <c r="V752" s="1472"/>
      <c r="W752" s="1473"/>
      <c r="X752" s="1361">
        <f>O752+T752</f>
        <v>0</v>
      </c>
      <c r="Y752" s="1362"/>
      <c r="Z752" s="1362"/>
      <c r="AA752" s="1362"/>
      <c r="AB752" s="1363"/>
      <c r="AC752" s="1618"/>
      <c r="AD752" s="1619"/>
      <c r="AE752" s="1619"/>
      <c r="AF752" s="1619"/>
      <c r="AG752" s="1620"/>
      <c r="AH752" s="1364" t="str">
        <f t="shared" si="36"/>
        <v/>
      </c>
      <c r="AI752" s="1365"/>
      <c r="AJ752" s="1366"/>
      <c r="AK752" s="1358" t="s">
        <v>592</v>
      </c>
      <c r="AL752" s="1359"/>
      <c r="AM752" s="1359"/>
      <c r="AN752" s="1359"/>
      <c r="AO752" s="136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4">
        <f t="shared" si="37"/>
        <v>0</v>
      </c>
      <c r="CH752" s="1356"/>
      <c r="CI752" s="1338">
        <f t="shared" si="38"/>
        <v>0</v>
      </c>
      <c r="CJ752" s="1340"/>
      <c r="CK752" s="1354">
        <f t="shared" si="16"/>
        <v>0</v>
      </c>
      <c r="CL752" s="1356"/>
      <c r="CM752" s="1338">
        <f t="shared" si="17"/>
        <v>0</v>
      </c>
      <c r="CN752" s="1340"/>
      <c r="CP752" s="1335">
        <f t="shared" si="18"/>
        <v>0</v>
      </c>
      <c r="CQ752" s="1336"/>
      <c r="CR752" s="1336"/>
      <c r="CS752" s="1336"/>
      <c r="CT752" s="1337"/>
      <c r="CU752" s="1357">
        <f t="shared" si="19"/>
        <v>0</v>
      </c>
      <c r="CV752" s="1357"/>
      <c r="CW752" s="1357"/>
      <c r="CX752" s="1357"/>
      <c r="CY752" s="1357"/>
      <c r="CZ752" s="1357">
        <f t="shared" si="20"/>
        <v>0</v>
      </c>
      <c r="DA752" s="1357"/>
      <c r="DB752" s="1357"/>
      <c r="DC752" s="1357"/>
      <c r="DD752" s="1357"/>
      <c r="DE752" s="1357">
        <f t="shared" si="21"/>
        <v>0</v>
      </c>
      <c r="DF752" s="1357"/>
      <c r="DG752" s="1357"/>
      <c r="DH752" s="1357"/>
      <c r="DI752" s="1357"/>
      <c r="DJ752" s="1357">
        <f t="shared" si="22"/>
        <v>0</v>
      </c>
      <c r="DK752" s="1357"/>
      <c r="DL752" s="1357"/>
      <c r="DM752" s="1357"/>
      <c r="DN752" s="1357"/>
      <c r="DO752" s="1357">
        <f t="shared" si="23"/>
        <v>0</v>
      </c>
      <c r="DP752" s="1357"/>
      <c r="DQ752" s="1357"/>
      <c r="DR752" s="1357"/>
      <c r="DS752" s="1357"/>
      <c r="DT752" s="6"/>
      <c r="DU752" s="1371">
        <f t="shared" si="24"/>
        <v>0</v>
      </c>
      <c r="DV752" s="1371"/>
      <c r="DW752" s="1371"/>
      <c r="DX752" s="1371"/>
      <c r="DY752" s="1371"/>
      <c r="DZ752" s="1371">
        <f t="shared" si="25"/>
        <v>0</v>
      </c>
      <c r="EA752" s="1371"/>
      <c r="EB752" s="1371"/>
      <c r="EC752" s="1371"/>
      <c r="ED752" s="1371"/>
      <c r="EE752" s="1371">
        <f t="shared" si="26"/>
        <v>0</v>
      </c>
      <c r="EF752" s="1371"/>
      <c r="EG752" s="1371"/>
      <c r="EH752" s="1371"/>
      <c r="EI752" s="1371"/>
      <c r="EJ752" s="1371">
        <f t="shared" si="27"/>
        <v>0</v>
      </c>
      <c r="EK752" s="1371"/>
      <c r="EL752" s="1371"/>
      <c r="EM752" s="1371"/>
      <c r="EN752" s="1371"/>
      <c r="EO752" s="1371">
        <f t="shared" si="28"/>
        <v>0</v>
      </c>
      <c r="EP752" s="1371"/>
      <c r="EQ752" s="1371"/>
      <c r="ER752" s="1371"/>
      <c r="ES752" s="1371"/>
      <c r="ET752" s="1371">
        <f t="shared" si="29"/>
        <v>0</v>
      </c>
      <c r="EU752" s="1371"/>
      <c r="EV752" s="1371"/>
      <c r="EW752" s="1371"/>
      <c r="EX752" s="1371"/>
      <c r="EY752"/>
      <c r="EZ752" s="1354" t="str">
        <f t="shared" si="30"/>
        <v/>
      </c>
      <c r="FA752" s="1355"/>
      <c r="FB752" s="1355"/>
      <c r="FC752" s="1355"/>
      <c r="FD752" s="1356"/>
      <c r="FE752" s="1354" t="str">
        <f t="shared" si="31"/>
        <v/>
      </c>
      <c r="FF752" s="1355"/>
      <c r="FG752" s="1355"/>
      <c r="FH752" s="1355"/>
      <c r="FI752" s="1356"/>
      <c r="FJ752" s="1354" t="str">
        <f t="shared" si="32"/>
        <v/>
      </c>
      <c r="FK752" s="1355"/>
      <c r="FL752" s="1355"/>
      <c r="FM752" s="1355"/>
      <c r="FN752" s="1356"/>
      <c r="FO752" s="1354" t="str">
        <f t="shared" si="33"/>
        <v/>
      </c>
      <c r="FP752" s="1355"/>
      <c r="FQ752" s="1355"/>
      <c r="FR752" s="1355"/>
      <c r="FS752" s="1356"/>
      <c r="FT752" s="1354" t="str">
        <f t="shared" si="34"/>
        <v/>
      </c>
      <c r="FU752" s="1355"/>
      <c r="FV752" s="1355"/>
      <c r="FW752" s="1355"/>
      <c r="FX752" s="1356"/>
      <c r="FY752" s="1354" t="str">
        <f t="shared" si="35"/>
        <v/>
      </c>
      <c r="FZ752" s="1355"/>
      <c r="GA752" s="1355"/>
      <c r="GB752" s="1355"/>
      <c r="GC752" s="1356"/>
    </row>
    <row r="753" spans="1:185" s="3" customFormat="1" ht="13" customHeight="1">
      <c r="A753"/>
      <c r="B753" s="1411" t="s">
        <v>125</v>
      </c>
      <c r="C753" s="1412"/>
      <c r="D753" s="1412"/>
      <c r="E753" s="1412"/>
      <c r="F753" s="1414"/>
      <c r="G753" s="1723">
        <f>SUM(G718:G752)</f>
        <v>89</v>
      </c>
      <c r="H753" s="1724"/>
      <c r="I753" s="1724"/>
      <c r="J753" s="1725"/>
      <c r="K753" s="902" t="s">
        <v>124</v>
      </c>
      <c r="L753" s="5"/>
      <c r="M753" s="5"/>
      <c r="N753" s="46"/>
      <c r="O753" s="1361">
        <f>SUMPRODUCT(G718:G752,O718:O752)</f>
        <v>165484</v>
      </c>
      <c r="P753" s="1362"/>
      <c r="Q753" s="1362"/>
      <c r="R753" s="1362"/>
      <c r="S753" s="1363"/>
      <c r="T753"/>
      <c r="U753"/>
      <c r="V753"/>
      <c r="W753"/>
      <c r="X753" s="904" t="s">
        <v>901</v>
      </c>
      <c r="Y753" s="903"/>
      <c r="Z753" s="903"/>
      <c r="AA753" s="903"/>
      <c r="AB753" s="905"/>
      <c r="AC753" s="1622">
        <f>BH753</f>
        <v>0.55168539325842691</v>
      </c>
      <c r="AD753" s="1623"/>
      <c r="AE753" s="1623"/>
      <c r="AF753" s="1623"/>
      <c r="AG753" s="1624"/>
      <c r="AH753" s="1622">
        <f>IFERROR(BU753,"")</f>
        <v>0.55166969552433442</v>
      </c>
      <c r="AI753" s="1623"/>
      <c r="AJ753" s="1624"/>
      <c r="AK753"/>
      <c r="AL753"/>
      <c r="AM753"/>
      <c r="AN753"/>
      <c r="AO753"/>
      <c r="AP753" s="205"/>
      <c r="AQ753" s="205"/>
      <c r="AR753" s="205"/>
      <c r="AS753" s="205"/>
      <c r="AT753"/>
      <c r="AU753"/>
      <c r="AV753"/>
      <c r="AW753"/>
      <c r="AX753"/>
      <c r="AY753"/>
      <c r="AZ753" s="34"/>
      <c r="BA753" s="34"/>
      <c r="BB753" s="34"/>
      <c r="BC753" s="34"/>
      <c r="BE753" s="290" t="s">
        <v>900</v>
      </c>
      <c r="BF753" s="299">
        <f>SUM(BF718:BF752)</f>
        <v>89</v>
      </c>
      <c r="BG753" s="300">
        <f>SUM(BG718:BG752)</f>
        <v>0.99999999999999989</v>
      </c>
      <c r="BH753" s="300">
        <f>SUM(BH718:BH752)</f>
        <v>0.55168539325842691</v>
      </c>
      <c r="BI753"/>
      <c r="BJ753"/>
      <c r="BK753"/>
      <c r="BL753"/>
      <c r="BO753"/>
      <c r="BP753"/>
      <c r="BQ753"/>
      <c r="BR753"/>
      <c r="BS753" s="859">
        <f>SUM(BS718:BS752)</f>
        <v>89</v>
      </c>
      <c r="BT753" s="300">
        <f>SUM(BT718:BT752)</f>
        <v>0.99999999999999989</v>
      </c>
      <c r="BU753" s="300">
        <f>SUM(BU718:BU752)</f>
        <v>0.55166969552433442</v>
      </c>
      <c r="CI753" s="1354">
        <f>SUM(CI718:CJ752)</f>
        <v>10</v>
      </c>
      <c r="CJ753" s="1356"/>
      <c r="CM753" s="1354">
        <f>SUM(CM718:CN752)</f>
        <v>11</v>
      </c>
      <c r="CN753" s="1356"/>
      <c r="CP753" s="1354">
        <f>SUM(CP718:CT752)</f>
        <v>0</v>
      </c>
      <c r="CQ753" s="1355"/>
      <c r="CR753" s="1355"/>
      <c r="CS753" s="1355"/>
      <c r="CT753" s="1356"/>
      <c r="CU753" s="1370">
        <f>SUM(CU718:CY752)</f>
        <v>43</v>
      </c>
      <c r="CV753" s="1370"/>
      <c r="CW753" s="1370"/>
      <c r="CX753" s="1370"/>
      <c r="CY753" s="1370"/>
      <c r="CZ753" s="1370">
        <f>SUM(CZ718:DD752)</f>
        <v>23</v>
      </c>
      <c r="DA753" s="1370"/>
      <c r="DB753" s="1370"/>
      <c r="DC753" s="1370"/>
      <c r="DD753" s="1370"/>
      <c r="DE753" s="1370">
        <f>SUM(DE718:DI752)</f>
        <v>23</v>
      </c>
      <c r="DF753" s="1370"/>
      <c r="DG753" s="1370"/>
      <c r="DH753" s="1370"/>
      <c r="DI753" s="1370"/>
      <c r="DJ753" s="1370">
        <f>SUM(DJ718:DN752)</f>
        <v>0</v>
      </c>
      <c r="DK753" s="1370"/>
      <c r="DL753" s="1370"/>
      <c r="DM753" s="1370"/>
      <c r="DN753" s="1370"/>
      <c r="DO753" s="1370">
        <f>SUM(DO718:DS752)</f>
        <v>0</v>
      </c>
      <c r="DP753" s="1370"/>
      <c r="DQ753" s="1370"/>
      <c r="DR753" s="1370"/>
      <c r="DS753" s="1370"/>
      <c r="DT753" s="354"/>
      <c r="DU753" s="1370">
        <f>SUM(DU718:DY752)</f>
        <v>0</v>
      </c>
      <c r="DV753" s="1370"/>
      <c r="DW753" s="1370"/>
      <c r="DX753" s="1370"/>
      <c r="DY753" s="1370"/>
      <c r="DZ753" s="1370">
        <f>SUM(DZ718:ED752)</f>
        <v>5</v>
      </c>
      <c r="EA753" s="1370"/>
      <c r="EB753" s="1370"/>
      <c r="EC753" s="1370"/>
      <c r="ED753" s="1370"/>
      <c r="EE753" s="1370">
        <f>SUM(EE718:EI752)</f>
        <v>3</v>
      </c>
      <c r="EF753" s="1370"/>
      <c r="EG753" s="1370"/>
      <c r="EH753" s="1370"/>
      <c r="EI753" s="1370"/>
      <c r="EJ753" s="1370">
        <f>SUM(EJ718:EN752)</f>
        <v>3</v>
      </c>
      <c r="EK753" s="1370"/>
      <c r="EL753" s="1370"/>
      <c r="EM753" s="1370"/>
      <c r="EN753" s="1370"/>
      <c r="EO753" s="1370">
        <f>SUM(EO718:ES752)</f>
        <v>0</v>
      </c>
      <c r="EP753" s="1370"/>
      <c r="EQ753" s="1370"/>
      <c r="ER753" s="1370"/>
      <c r="ES753" s="1370"/>
      <c r="ET753" s="1370">
        <f>SUM(ET718:EX752)</f>
        <v>0</v>
      </c>
      <c r="EU753" s="1370"/>
      <c r="EV753" s="1370"/>
      <c r="EW753" s="1370"/>
      <c r="EX753" s="1370"/>
      <c r="EY753"/>
      <c r="EZ753" s="1370">
        <f>SUM(EZ718:FD752)</f>
        <v>0</v>
      </c>
      <c r="FA753" s="1370"/>
      <c r="FB753" s="1370"/>
      <c r="FC753" s="1370"/>
      <c r="FD753" s="1370"/>
      <c r="FE753" s="1370">
        <f>SUM(FE718:FI752)</f>
        <v>4082</v>
      </c>
      <c r="FF753" s="1370"/>
      <c r="FG753" s="1370"/>
      <c r="FH753" s="1370"/>
      <c r="FI753" s="1370"/>
      <c r="FJ753" s="1370">
        <f>SUM(FJ718:FN752)</f>
        <v>4868</v>
      </c>
      <c r="FK753" s="1370"/>
      <c r="FL753" s="1370"/>
      <c r="FM753" s="1370"/>
      <c r="FN753" s="1370"/>
      <c r="FO753" s="1370">
        <f>SUM(FO718:FS752)</f>
        <v>5582</v>
      </c>
      <c r="FP753" s="1370"/>
      <c r="FQ753" s="1370"/>
      <c r="FR753" s="1370"/>
      <c r="FS753" s="1370"/>
      <c r="FT753" s="1370">
        <f>SUM(FT718:FX752)</f>
        <v>0</v>
      </c>
      <c r="FU753" s="1370"/>
      <c r="FV753" s="1370"/>
      <c r="FW753" s="1370"/>
      <c r="FX753" s="1370"/>
      <c r="FY753" s="1370">
        <f>SUM(FY718:GC752)</f>
        <v>0</v>
      </c>
      <c r="FZ753" s="1370"/>
      <c r="GA753" s="1370"/>
      <c r="GB753" s="1370"/>
      <c r="GC753" s="1370"/>
    </row>
    <row r="754" spans="1:185" s="3" customFormat="1" ht="13" customHeight="1">
      <c r="A754"/>
      <c r="B754" s="1727" t="s">
        <v>1895</v>
      </c>
      <c r="C754" s="1727"/>
      <c r="D754" s="1727"/>
      <c r="E754" s="1727"/>
      <c r="F754" s="1727"/>
      <c r="G754" s="1727"/>
      <c r="H754" s="1727"/>
      <c r="I754" s="1727"/>
      <c r="J754" s="1727"/>
      <c r="K754" s="1727"/>
      <c r="L754" s="1727"/>
      <c r="M754" s="1727"/>
      <c r="N754" s="1727"/>
      <c r="O754" s="1727"/>
      <c r="P754" s="1727"/>
      <c r="Q754" s="1727"/>
      <c r="R754" s="1727"/>
      <c r="S754" s="1727"/>
      <c r="T754" s="1727"/>
      <c r="U754" s="1727"/>
      <c r="V754" s="1727"/>
      <c r="W754" s="1727"/>
      <c r="X754" s="1727"/>
      <c r="Y754" s="1727"/>
      <c r="Z754" s="1727"/>
      <c r="AA754" s="1727"/>
      <c r="AB754" s="1727"/>
      <c r="AC754" s="1727"/>
      <c r="AD754" s="1727"/>
      <c r="AE754" s="1727"/>
      <c r="AF754" s="1727"/>
      <c r="AG754" s="1727"/>
      <c r="AH754" s="1727"/>
      <c r="AI754"/>
      <c r="AJ754"/>
      <c r="AK754"/>
      <c r="AT754"/>
      <c r="AU754"/>
      <c r="AV754"/>
      <c r="AW754"/>
      <c r="AX754"/>
      <c r="AY754"/>
      <c r="CD754"/>
      <c r="DN754" s="56" t="s">
        <v>1862</v>
      </c>
      <c r="DO754" s="1354">
        <f>CP753+CU753+CZ753+DE753+DJ753+DO753</f>
        <v>89</v>
      </c>
      <c r="DP754" s="1355"/>
      <c r="DQ754" s="1355"/>
      <c r="DR754" s="1355"/>
      <c r="DS754" s="135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7"/>
      <c r="C755" s="1727"/>
      <c r="D755" s="1727"/>
      <c r="E755" s="1727"/>
      <c r="F755" s="1727"/>
      <c r="G755" s="1727"/>
      <c r="H755" s="1727"/>
      <c r="I755" s="1727"/>
      <c r="J755" s="1727"/>
      <c r="K755" s="1727"/>
      <c r="L755" s="1727"/>
      <c r="M755" s="1727"/>
      <c r="N755" s="1727"/>
      <c r="O755" s="1727"/>
      <c r="P755" s="1727"/>
      <c r="Q755" s="1727"/>
      <c r="R755" s="1727"/>
      <c r="S755" s="1727"/>
      <c r="T755" s="1727"/>
      <c r="U755" s="1727"/>
      <c r="V755" s="1727"/>
      <c r="W755" s="1727"/>
      <c r="X755" s="1727"/>
      <c r="Y755" s="1727"/>
      <c r="Z755" s="1727"/>
      <c r="AA755" s="1727"/>
      <c r="AB755" s="1727"/>
      <c r="AC755" s="1727"/>
      <c r="AD755" s="1727"/>
      <c r="AE755" s="1727"/>
      <c r="AF755" s="1727"/>
      <c r="AG755" s="1727"/>
      <c r="AH755" s="172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43</v>
      </c>
      <c r="CZ755" s="3"/>
      <c r="DA755" s="3"/>
      <c r="DB755" s="3"/>
      <c r="DC755" s="3"/>
      <c r="DD755" s="861">
        <f>CZ753*2</f>
        <v>46</v>
      </c>
      <c r="DE755" s="3"/>
      <c r="DF755" s="3"/>
      <c r="DG755" s="3"/>
      <c r="DH755" s="3"/>
      <c r="DI755" s="861">
        <f>DE753*3</f>
        <v>69</v>
      </c>
      <c r="DJ755" s="3"/>
      <c r="DK755" s="3"/>
      <c r="DL755" s="3"/>
      <c r="DM755" s="3"/>
      <c r="DN755" s="861">
        <f>DJ753*4</f>
        <v>0</v>
      </c>
      <c r="DO755" s="3"/>
      <c r="DP755" s="3"/>
      <c r="DQ755" s="3"/>
      <c r="DR755" s="3"/>
      <c r="DS755" s="861">
        <f>DO753*5</f>
        <v>0</v>
      </c>
      <c r="DU755" s="861">
        <f>CT755+CY755+DD755+DI755+DN755+DS755</f>
        <v>158</v>
      </c>
      <c r="DV755" s="57" t="s">
        <v>1864</v>
      </c>
      <c r="DW755" s="3"/>
      <c r="DX755" s="3"/>
      <c r="DY755" s="3"/>
      <c r="DZ755" s="3"/>
      <c r="EA755" s="3"/>
      <c r="EB755" s="3"/>
      <c r="EC755" s="3"/>
      <c r="ED755" s="3"/>
      <c r="EE755" s="3"/>
      <c r="EF755" s="3"/>
      <c r="EG755" s="3"/>
      <c r="EH755" s="3"/>
    </row>
    <row r="756" spans="1:185" ht="13" customHeight="1">
      <c r="A756" s="3"/>
      <c r="B756" s="3"/>
      <c r="C756" s="118" t="s">
        <v>1893</v>
      </c>
      <c r="D756" s="1032"/>
      <c r="E756" s="1032"/>
      <c r="F756" s="1032"/>
      <c r="G756" s="1033"/>
      <c r="H756" s="1033"/>
      <c r="I756" s="1033"/>
      <c r="J756" s="1033"/>
      <c r="K756" s="1032"/>
      <c r="L756" s="1032"/>
      <c r="M756" s="1032"/>
      <c r="N756" s="1032"/>
      <c r="O756" s="1370">
        <f>DU755</f>
        <v>158</v>
      </c>
      <c r="P756" s="1370"/>
      <c r="Q756" s="1370"/>
      <c r="R756" s="1370"/>
      <c r="S756" s="969"/>
      <c r="T756" s="969"/>
      <c r="U756" s="118" t="s">
        <v>1894</v>
      </c>
      <c r="V756" s="1032"/>
      <c r="W756" s="1032"/>
      <c r="X756" s="1032"/>
      <c r="Y756" s="1033"/>
      <c r="Z756" s="1033"/>
      <c r="AA756" s="1033"/>
      <c r="AB756" s="1033"/>
      <c r="AC756" s="1032"/>
      <c r="AD756" s="1032"/>
      <c r="AE756" s="1032"/>
      <c r="AF756" s="1032"/>
      <c r="AG756" s="1719">
        <v>0</v>
      </c>
      <c r="AH756" s="1719"/>
      <c r="AI756" s="1719"/>
      <c r="AJ756" s="171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6" t="s">
        <v>592</v>
      </c>
      <c r="AE759" s="1726"/>
      <c r="AF759" s="17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9" t="s">
        <v>2091</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9" t="s">
        <v>2092</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614" t="s">
        <v>389</v>
      </c>
      <c r="K769" s="1503"/>
      <c r="L769" s="1503"/>
      <c r="M769" s="1503"/>
      <c r="N769" s="1504"/>
      <c r="O769" s="1606" t="s">
        <v>285</v>
      </c>
      <c r="P769" s="1606"/>
      <c r="Q769" s="1606"/>
      <c r="R769" s="1606"/>
      <c r="S769" s="1606"/>
      <c r="T769" s="1514" t="s">
        <v>1680</v>
      </c>
      <c r="U769" s="1515"/>
      <c r="V769" s="1515"/>
      <c r="W769" s="1516"/>
      <c r="X769" s="1614" t="s">
        <v>448</v>
      </c>
      <c r="Y769" s="1503"/>
      <c r="Z769" s="1503"/>
      <c r="AA769" s="1503"/>
      <c r="AB769" s="1504"/>
      <c r="AC769" s="1614" t="s">
        <v>286</v>
      </c>
      <c r="AD769" s="1503"/>
      <c r="AE769" s="1503"/>
      <c r="AF769" s="1503"/>
      <c r="AG769" s="150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505"/>
      <c r="K770" s="1506"/>
      <c r="L770" s="1506"/>
      <c r="M770" s="1506"/>
      <c r="N770" s="1507"/>
      <c r="O770" s="1606"/>
      <c r="P770" s="1606"/>
      <c r="Q770" s="1606"/>
      <c r="R770" s="1606"/>
      <c r="S770" s="1606"/>
      <c r="T770" s="1517"/>
      <c r="U770" s="1518"/>
      <c r="V770" s="1518"/>
      <c r="W770" s="1519"/>
      <c r="X770" s="1505"/>
      <c r="Y770" s="1506"/>
      <c r="Z770" s="1506"/>
      <c r="AA770" s="1506"/>
      <c r="AB770" s="1507"/>
      <c r="AC770" s="1505"/>
      <c r="AD770" s="1506"/>
      <c r="AE770" s="1506"/>
      <c r="AF770" s="1506"/>
      <c r="AG770" s="150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505"/>
      <c r="K771" s="1506"/>
      <c r="L771" s="1506"/>
      <c r="M771" s="1506"/>
      <c r="N771" s="1507"/>
      <c r="O771" s="1606"/>
      <c r="P771" s="1606"/>
      <c r="Q771" s="1606"/>
      <c r="R771" s="1606"/>
      <c r="S771" s="1606"/>
      <c r="T771" s="1517"/>
      <c r="U771" s="1518"/>
      <c r="V771" s="1518"/>
      <c r="W771" s="1519"/>
      <c r="X771" s="1505"/>
      <c r="Y771" s="1506"/>
      <c r="Z771" s="1506"/>
      <c r="AA771" s="1506"/>
      <c r="AB771" s="1507"/>
      <c r="AC771" s="1505"/>
      <c r="AD771" s="1506"/>
      <c r="AE771" s="1506"/>
      <c r="AF771" s="1506"/>
      <c r="AG771" s="150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8"/>
      <c r="K772" s="1509"/>
      <c r="L772" s="1509"/>
      <c r="M772" s="1509"/>
      <c r="N772" s="1510"/>
      <c r="O772" s="1606"/>
      <c r="P772" s="1606"/>
      <c r="Q772" s="1606"/>
      <c r="R772" s="1606"/>
      <c r="S772" s="1606"/>
      <c r="T772" s="1615"/>
      <c r="U772" s="1616"/>
      <c r="V772" s="1616"/>
      <c r="W772" s="1617"/>
      <c r="X772" s="1508"/>
      <c r="Y772" s="1509"/>
      <c r="Z772" s="1509"/>
      <c r="AA772" s="1509"/>
      <c r="AB772" s="1510"/>
      <c r="AC772" s="1508"/>
      <c r="AD772" s="1509"/>
      <c r="AE772" s="1509"/>
      <c r="AF772" s="1509"/>
      <c r="AG772" s="151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8" t="s">
        <v>163</v>
      </c>
      <c r="K773" s="1359"/>
      <c r="L773" s="1359"/>
      <c r="M773" s="1359"/>
      <c r="N773" s="1360"/>
      <c r="O773" s="1467">
        <v>1</v>
      </c>
      <c r="P773" s="1467"/>
      <c r="Q773" s="1467"/>
      <c r="R773" s="1467"/>
      <c r="S773" s="1467"/>
      <c r="T773" s="1608">
        <v>726</v>
      </c>
      <c r="U773" s="1609"/>
      <c r="V773" s="1609"/>
      <c r="W773" s="1610"/>
      <c r="X773" s="1471">
        <v>0</v>
      </c>
      <c r="Y773" s="1472"/>
      <c r="Z773" s="1472"/>
      <c r="AA773" s="1472"/>
      <c r="AB773" s="1473"/>
      <c r="AC773" s="1361">
        <f>X773*O773</f>
        <v>0</v>
      </c>
      <c r="AD773" s="1362"/>
      <c r="AE773" s="1362"/>
      <c r="AF773" s="1362"/>
      <c r="AG773" s="1363"/>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5">
        <f>IF(J773="SRO/Studio",O773,0)</f>
        <v>0</v>
      </c>
      <c r="CQ773" s="1336"/>
      <c r="CR773" s="1336"/>
      <c r="CS773" s="1336"/>
      <c r="CT773" s="1337"/>
      <c r="CU773" s="1357">
        <f>IF(J773="1 Bedroom",O773,0)</f>
        <v>0</v>
      </c>
      <c r="CV773" s="1357"/>
      <c r="CW773" s="1357"/>
      <c r="CX773" s="1357"/>
      <c r="CY773" s="1357"/>
      <c r="CZ773" s="1357">
        <f>IF(J773="2 Bedrooms",O773,0)</f>
        <v>1</v>
      </c>
      <c r="DA773" s="1357"/>
      <c r="DB773" s="1357"/>
      <c r="DC773" s="1357"/>
      <c r="DD773" s="1357"/>
      <c r="DE773" s="1357">
        <f>IF(J773="3 Bedrooms",O773,0)</f>
        <v>0</v>
      </c>
      <c r="DF773" s="1357"/>
      <c r="DG773" s="1357"/>
      <c r="DH773" s="1357"/>
      <c r="DI773" s="1357"/>
      <c r="DJ773" s="1357">
        <f>IF(J773="4 Bedrooms",O773,0)</f>
        <v>0</v>
      </c>
      <c r="DK773" s="1357"/>
      <c r="DL773" s="1357"/>
      <c r="DM773" s="1357"/>
      <c r="DN773" s="1357"/>
      <c r="DO773" s="1357">
        <f>IF(J773="5 Bedrooms",O773,0)</f>
        <v>0</v>
      </c>
      <c r="DP773" s="1357"/>
      <c r="DQ773" s="1357"/>
      <c r="DR773" s="1357"/>
      <c r="DS773" s="1357"/>
      <c r="DT773" s="6"/>
      <c r="DU773" s="3"/>
      <c r="DV773" s="3"/>
    </row>
    <row r="774" spans="1:126" ht="13" customHeight="1">
      <c r="J774" s="1358"/>
      <c r="K774" s="1359"/>
      <c r="L774" s="1359"/>
      <c r="M774" s="1359"/>
      <c r="N774" s="1360"/>
      <c r="O774" s="1467"/>
      <c r="P774" s="1467"/>
      <c r="Q774" s="1467"/>
      <c r="R774" s="1467"/>
      <c r="S774" s="1467"/>
      <c r="T774" s="1608"/>
      <c r="U774" s="1609"/>
      <c r="V774" s="1609"/>
      <c r="W774" s="1610"/>
      <c r="X774" s="1471"/>
      <c r="Y774" s="1472"/>
      <c r="Z774" s="1472"/>
      <c r="AA774" s="1472"/>
      <c r="AB774" s="1473"/>
      <c r="AC774" s="1361">
        <f>X774*O774</f>
        <v>0</v>
      </c>
      <c r="AD774" s="1362"/>
      <c r="AE774" s="1362"/>
      <c r="AF774" s="1362"/>
      <c r="AG774" s="1363"/>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5">
        <f>IF(J774="SRO/Studio",O774,0)</f>
        <v>0</v>
      </c>
      <c r="CQ774" s="1336"/>
      <c r="CR774" s="1336"/>
      <c r="CS774" s="1336"/>
      <c r="CT774" s="1337"/>
      <c r="CU774" s="1357">
        <f>IF(J774="1 Bedroom",O774,0)</f>
        <v>0</v>
      </c>
      <c r="CV774" s="1357"/>
      <c r="CW774" s="1357"/>
      <c r="CX774" s="1357"/>
      <c r="CY774" s="1357"/>
      <c r="CZ774" s="1357">
        <f>IF(J774="2 Bedrooms",O774,0)</f>
        <v>0</v>
      </c>
      <c r="DA774" s="1357"/>
      <c r="DB774" s="1357"/>
      <c r="DC774" s="1357"/>
      <c r="DD774" s="1357"/>
      <c r="DE774" s="1357">
        <f>IF(J774="3 Bedrooms",O774,0)</f>
        <v>0</v>
      </c>
      <c r="DF774" s="1357"/>
      <c r="DG774" s="1357"/>
      <c r="DH774" s="1357"/>
      <c r="DI774" s="1357"/>
      <c r="DJ774" s="1357">
        <f>IF(J774="4 Bedrooms",O774,0)</f>
        <v>0</v>
      </c>
      <c r="DK774" s="1357"/>
      <c r="DL774" s="1357"/>
      <c r="DM774" s="1357"/>
      <c r="DN774" s="1357"/>
      <c r="DO774" s="1357">
        <f>IF(J774="5 Bedrooms",O774,0)</f>
        <v>0</v>
      </c>
      <c r="DP774" s="1357"/>
      <c r="DQ774" s="1357"/>
      <c r="DR774" s="1357"/>
      <c r="DS774" s="1357"/>
      <c r="DT774" s="6"/>
      <c r="DU774" s="3"/>
      <c r="DV774" s="3"/>
    </row>
    <row r="775" spans="1:126" ht="13" customHeight="1">
      <c r="J775" s="1358"/>
      <c r="K775" s="1359"/>
      <c r="L775" s="1359"/>
      <c r="M775" s="1359"/>
      <c r="N775" s="1360"/>
      <c r="O775" s="1467"/>
      <c r="P775" s="1467"/>
      <c r="Q775" s="1467"/>
      <c r="R775" s="1467"/>
      <c r="S775" s="1467"/>
      <c r="T775" s="1608"/>
      <c r="U775" s="1609"/>
      <c r="V775" s="1609"/>
      <c r="W775" s="1610"/>
      <c r="X775" s="1471"/>
      <c r="Y775" s="1472"/>
      <c r="Z775" s="1472"/>
      <c r="AA775" s="1472"/>
      <c r="AB775" s="1473"/>
      <c r="AC775" s="1361">
        <f>X775*O775</f>
        <v>0</v>
      </c>
      <c r="AD775" s="1362"/>
      <c r="AE775" s="1362"/>
      <c r="AF775" s="1362"/>
      <c r="AG775" s="1363"/>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5">
        <f>IF(J775="SRO/Studio",O775,0)</f>
        <v>0</v>
      </c>
      <c r="CQ775" s="1336"/>
      <c r="CR775" s="1336"/>
      <c r="CS775" s="1336"/>
      <c r="CT775" s="1337"/>
      <c r="CU775" s="1357">
        <f>IF(J775="1 Bedroom",O775,0)</f>
        <v>0</v>
      </c>
      <c r="CV775" s="1357"/>
      <c r="CW775" s="1357"/>
      <c r="CX775" s="1357"/>
      <c r="CY775" s="1357"/>
      <c r="CZ775" s="1357">
        <f>IF(J775="2 Bedrooms",O775,0)</f>
        <v>0</v>
      </c>
      <c r="DA775" s="1357"/>
      <c r="DB775" s="1357"/>
      <c r="DC775" s="1357"/>
      <c r="DD775" s="1357"/>
      <c r="DE775" s="1357">
        <f>IF(J775="3 Bedrooms",O775,0)</f>
        <v>0</v>
      </c>
      <c r="DF775" s="1357"/>
      <c r="DG775" s="1357"/>
      <c r="DH775" s="1357"/>
      <c r="DI775" s="1357"/>
      <c r="DJ775" s="1357">
        <f>IF(J775="4 Bedrooms",O775,0)</f>
        <v>0</v>
      </c>
      <c r="DK775" s="1357"/>
      <c r="DL775" s="1357"/>
      <c r="DM775" s="1357"/>
      <c r="DN775" s="1357"/>
      <c r="DO775" s="1357">
        <f>IF(J775="5 Bedrooms",O775,0)</f>
        <v>0</v>
      </c>
      <c r="DP775" s="1357"/>
      <c r="DQ775" s="1357"/>
      <c r="DR775" s="1357"/>
      <c r="DS775" s="1357"/>
      <c r="DT775" s="1012"/>
    </row>
    <row r="776" spans="1:126" ht="13" customHeight="1">
      <c r="J776" s="1358"/>
      <c r="K776" s="1359"/>
      <c r="L776" s="1359"/>
      <c r="M776" s="1359"/>
      <c r="N776" s="1360"/>
      <c r="O776" s="1467"/>
      <c r="P776" s="1467"/>
      <c r="Q776" s="1467"/>
      <c r="R776" s="1467"/>
      <c r="S776" s="1467"/>
      <c r="T776" s="1608"/>
      <c r="U776" s="1609"/>
      <c r="V776" s="1609"/>
      <c r="W776" s="1610"/>
      <c r="X776" s="1471"/>
      <c r="Y776" s="1472"/>
      <c r="Z776" s="1472"/>
      <c r="AA776" s="1472"/>
      <c r="AB776" s="1473"/>
      <c r="AC776" s="1361">
        <f>X776*O776</f>
        <v>0</v>
      </c>
      <c r="AD776" s="1362"/>
      <c r="AE776" s="1362"/>
      <c r="AF776" s="1362"/>
      <c r="AG776" s="1363"/>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5">
        <f>IF(J776="SRO/Studio",O776,0)</f>
        <v>0</v>
      </c>
      <c r="CQ776" s="1336"/>
      <c r="CR776" s="1336"/>
      <c r="CS776" s="1336"/>
      <c r="CT776" s="1337"/>
      <c r="CU776" s="1357">
        <f>IF(J776="1 Bedroom",O776,0)</f>
        <v>0</v>
      </c>
      <c r="CV776" s="1357"/>
      <c r="CW776" s="1357"/>
      <c r="CX776" s="1357"/>
      <c r="CY776" s="1357"/>
      <c r="CZ776" s="1357">
        <f>IF(J776="2 Bedrooms",O776,0)</f>
        <v>0</v>
      </c>
      <c r="DA776" s="1357"/>
      <c r="DB776" s="1357"/>
      <c r="DC776" s="1357"/>
      <c r="DD776" s="1357"/>
      <c r="DE776" s="1357">
        <f>IF(J776="3 Bedrooms",O776,0)</f>
        <v>0</v>
      </c>
      <c r="DF776" s="1357"/>
      <c r="DG776" s="1357"/>
      <c r="DH776" s="1357"/>
      <c r="DI776" s="1357"/>
      <c r="DJ776" s="1357">
        <f>IF(J776="4 Bedrooms",O776,0)</f>
        <v>0</v>
      </c>
      <c r="DK776" s="1357"/>
      <c r="DL776" s="1357"/>
      <c r="DM776" s="1357"/>
      <c r="DN776" s="1357"/>
      <c r="DO776" s="1357">
        <f>IF(J776="5 Bedrooms",O776,0)</f>
        <v>0</v>
      </c>
      <c r="DP776" s="1357"/>
      <c r="DQ776" s="1357"/>
      <c r="DR776" s="1357"/>
      <c r="DS776" s="1357"/>
    </row>
    <row r="777" spans="1:126" ht="13" customHeight="1">
      <c r="J777" s="1411" t="s">
        <v>125</v>
      </c>
      <c r="K777" s="1412"/>
      <c r="L777" s="1412"/>
      <c r="M777" s="1412"/>
      <c r="N777" s="1414"/>
      <c r="O777" s="1338">
        <f>SUM(O773:S776)</f>
        <v>1</v>
      </c>
      <c r="P777" s="1339"/>
      <c r="Q777" s="1339"/>
      <c r="R777" s="1339"/>
      <c r="S777" s="1340"/>
      <c r="X777" s="1411" t="s">
        <v>124</v>
      </c>
      <c r="Y777" s="1412"/>
      <c r="Z777" s="1412"/>
      <c r="AA777" s="1412"/>
      <c r="AB777" s="1414"/>
      <c r="AC777" s="1361">
        <f>SUM(AC773:AG776)</f>
        <v>0</v>
      </c>
      <c r="AD777" s="1362"/>
      <c r="AE777" s="1362"/>
      <c r="AF777" s="1362"/>
      <c r="AG777" s="1363"/>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8">
        <f>SUM(CP773:CT776)</f>
        <v>0</v>
      </c>
      <c r="CQ777" s="1339"/>
      <c r="CR777" s="1339"/>
      <c r="CS777" s="1339"/>
      <c r="CT777" s="1340"/>
      <c r="CU777" s="1351">
        <f>SUM(CU773:CY776)</f>
        <v>0</v>
      </c>
      <c r="CV777" s="1352"/>
      <c r="CW777" s="1352"/>
      <c r="CX777" s="1352"/>
      <c r="CY777" s="1353"/>
      <c r="CZ777" s="1351">
        <f>SUM(CZ773:DD776)</f>
        <v>1</v>
      </c>
      <c r="DA777" s="1352"/>
      <c r="DB777" s="1352"/>
      <c r="DC777" s="1352"/>
      <c r="DD777" s="1353"/>
      <c r="DE777" s="1351">
        <f>SUM(DE773:DI776)</f>
        <v>0</v>
      </c>
      <c r="DF777" s="1352"/>
      <c r="DG777" s="1352"/>
      <c r="DH777" s="1352"/>
      <c r="DI777" s="1353"/>
      <c r="DJ777" s="1351">
        <f>SUM(DJ773:DN776)</f>
        <v>0</v>
      </c>
      <c r="DK777" s="1352"/>
      <c r="DL777" s="1352"/>
      <c r="DM777" s="1352"/>
      <c r="DN777" s="1353"/>
      <c r="DO777" s="1351">
        <f>SUM(DO773:DS776)</f>
        <v>0</v>
      </c>
      <c r="DP777" s="1352"/>
      <c r="DQ777" s="1352"/>
      <c r="DR777" s="1352"/>
      <c r="DS777" s="1353"/>
      <c r="DU777" s="861">
        <f>CP777+CU777+CZ777+DE777+DJ777+DO777</f>
        <v>1</v>
      </c>
      <c r="DV777" s="57" t="s">
        <v>1861</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3" customHeight="1">
      <c r="B779" s="56"/>
      <c r="C779" s="56"/>
      <c r="D779" s="56"/>
      <c r="E779" s="56"/>
      <c r="F779" s="56"/>
      <c r="G779" s="6"/>
      <c r="H779" s="6"/>
      <c r="I779" s="6"/>
      <c r="J779" s="1393" t="s">
        <v>670</v>
      </c>
      <c r="K779" s="1393"/>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614" t="s">
        <v>389</v>
      </c>
      <c r="K783" s="1503"/>
      <c r="L783" s="1503"/>
      <c r="M783" s="1503"/>
      <c r="N783" s="1504"/>
      <c r="O783" s="1606" t="s">
        <v>285</v>
      </c>
      <c r="P783" s="1606"/>
      <c r="Q783" s="1606"/>
      <c r="R783" s="1606"/>
      <c r="S783" s="1606"/>
      <c r="T783" s="1514" t="s">
        <v>1680</v>
      </c>
      <c r="U783" s="1515"/>
      <c r="V783" s="1515"/>
      <c r="W783" s="1516"/>
      <c r="X783" s="1614" t="s">
        <v>448</v>
      </c>
      <c r="Y783" s="1503"/>
      <c r="Z783" s="1503"/>
      <c r="AA783" s="1503"/>
      <c r="AB783" s="1504"/>
      <c r="AC783" s="1614" t="s">
        <v>286</v>
      </c>
      <c r="AD783" s="1503"/>
      <c r="AE783" s="1503"/>
      <c r="AF783" s="1503"/>
      <c r="AG783" s="150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505"/>
      <c r="K784" s="1506"/>
      <c r="L784" s="1506"/>
      <c r="M784" s="1506"/>
      <c r="N784" s="1507"/>
      <c r="O784" s="1606"/>
      <c r="P784" s="1606"/>
      <c r="Q784" s="1606"/>
      <c r="R784" s="1606"/>
      <c r="S784" s="1606"/>
      <c r="T784" s="1517"/>
      <c r="U784" s="1518"/>
      <c r="V784" s="1518"/>
      <c r="W784" s="1519"/>
      <c r="X784" s="1505"/>
      <c r="Y784" s="1506"/>
      <c r="Z784" s="1506"/>
      <c r="AA784" s="1506"/>
      <c r="AB784" s="1507"/>
      <c r="AC784" s="1505"/>
      <c r="AD784" s="1506"/>
      <c r="AE784" s="1506"/>
      <c r="AF784" s="1506"/>
      <c r="AG784" s="150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505"/>
      <c r="K785" s="1506"/>
      <c r="L785" s="1506"/>
      <c r="M785" s="1506"/>
      <c r="N785" s="1507"/>
      <c r="O785" s="1606"/>
      <c r="P785" s="1606"/>
      <c r="Q785" s="1606"/>
      <c r="R785" s="1606"/>
      <c r="S785" s="1606"/>
      <c r="T785" s="1517"/>
      <c r="U785" s="1518"/>
      <c r="V785" s="1518"/>
      <c r="W785" s="1519"/>
      <c r="X785" s="1505"/>
      <c r="Y785" s="1506"/>
      <c r="Z785" s="1506"/>
      <c r="AA785" s="1506"/>
      <c r="AB785" s="1507"/>
      <c r="AC785" s="1505"/>
      <c r="AD785" s="1506"/>
      <c r="AE785" s="1506"/>
      <c r="AF785" s="1506"/>
      <c r="AG785" s="150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8"/>
      <c r="K786" s="1509"/>
      <c r="L786" s="1509"/>
      <c r="M786" s="1509"/>
      <c r="N786" s="1510"/>
      <c r="O786" s="1606"/>
      <c r="P786" s="1606"/>
      <c r="Q786" s="1606"/>
      <c r="R786" s="1606"/>
      <c r="S786" s="1606"/>
      <c r="T786" s="1615"/>
      <c r="U786" s="1616"/>
      <c r="V786" s="1616"/>
      <c r="W786" s="1617"/>
      <c r="X786" s="1508"/>
      <c r="Y786" s="1509"/>
      <c r="Z786" s="1509"/>
      <c r="AA786" s="1509"/>
      <c r="AB786" s="1510"/>
      <c r="AC786" s="1508"/>
      <c r="AD786" s="1509"/>
      <c r="AE786" s="1509"/>
      <c r="AF786" s="1509"/>
      <c r="AG786" s="151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3" customHeight="1">
      <c r="J787" s="1358"/>
      <c r="K787" s="1359"/>
      <c r="L787" s="1359"/>
      <c r="M787" s="1359"/>
      <c r="N787" s="1360"/>
      <c r="O787" s="1467"/>
      <c r="P787" s="1467"/>
      <c r="Q787" s="1467"/>
      <c r="R787" s="1467"/>
      <c r="S787" s="1467"/>
      <c r="T787" s="1608"/>
      <c r="U787" s="1609"/>
      <c r="V787" s="1609"/>
      <c r="W787" s="1610"/>
      <c r="X787" s="1471"/>
      <c r="Y787" s="1472"/>
      <c r="Z787" s="1472"/>
      <c r="AA787" s="1472"/>
      <c r="AB787" s="1473"/>
      <c r="AC787" s="1361">
        <f t="shared" ref="AC787:AC796" si="40">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5">
        <f t="shared" ref="CP787:CP796" si="41">IF(J787="SRO/Studio",O787,0)</f>
        <v>0</v>
      </c>
      <c r="CQ787" s="1336"/>
      <c r="CR787" s="1336"/>
      <c r="CS787" s="1336"/>
      <c r="CT787" s="1337"/>
      <c r="CU787" s="1335">
        <f t="shared" ref="CU787:CU796" si="42">IF(J787="1 Bedroom",O787,0)</f>
        <v>0</v>
      </c>
      <c r="CV787" s="1336"/>
      <c r="CW787" s="1336"/>
      <c r="CX787" s="1336"/>
      <c r="CY787" s="1337"/>
      <c r="CZ787" s="1335">
        <f t="shared" ref="CZ787:CZ796" si="43">IF(J787="2 Bedrooms",O787,0)</f>
        <v>0</v>
      </c>
      <c r="DA787" s="1336"/>
      <c r="DB787" s="1336"/>
      <c r="DC787" s="1336"/>
      <c r="DD787" s="1337"/>
      <c r="DE787" s="1335">
        <f t="shared" ref="DE787:DE796" si="44">IF(J787="3 Bedrooms",O787,0)</f>
        <v>0</v>
      </c>
      <c r="DF787" s="1336"/>
      <c r="DG787" s="1336"/>
      <c r="DH787" s="1336"/>
      <c r="DI787" s="1337"/>
      <c r="DJ787" s="1335">
        <f t="shared" ref="DJ787:DJ796" si="45">IF(J787="4 Bedrooms",O787,0)</f>
        <v>0</v>
      </c>
      <c r="DK787" s="1336"/>
      <c r="DL787" s="1336"/>
      <c r="DM787" s="1336"/>
      <c r="DN787" s="1337"/>
      <c r="DO787" s="1335">
        <f t="shared" ref="DO787:DO796" si="46">IF(J787="5 Bedrooms",O787,0)</f>
        <v>0</v>
      </c>
      <c r="DP787" s="1336"/>
      <c r="DQ787" s="1336"/>
      <c r="DR787" s="1336"/>
      <c r="DS787" s="1337"/>
      <c r="DT787" s="6"/>
      <c r="DU787" s="1335">
        <f t="shared" ref="DU787:DU796" si="47">IF(AND(CP787&gt;=1,AH787&gt;=0.1,AH787&lt;=1),O787,0)</f>
        <v>0</v>
      </c>
      <c r="DV787" s="1336"/>
      <c r="DW787" s="1336"/>
      <c r="DX787" s="1336"/>
      <c r="DY787" s="1337"/>
      <c r="DZ787" s="1335">
        <f t="shared" ref="DZ787:DZ796" si="48">IF(AND(CU787&gt;=1,AH787&gt;=0.1,AH787&lt;=1),O787,0)</f>
        <v>0</v>
      </c>
      <c r="EA787" s="1336"/>
      <c r="EB787" s="1336"/>
      <c r="EC787" s="1336"/>
      <c r="ED787" s="1337"/>
      <c r="EE787" s="1335">
        <f t="shared" ref="EE787:EE796" si="49">IF(AND(CZ787&gt;=1,AH787&gt;=0.1,AH787&lt;=1),O787,0)</f>
        <v>0</v>
      </c>
      <c r="EF787" s="1336"/>
      <c r="EG787" s="1336"/>
      <c r="EH787" s="1336"/>
      <c r="EI787" s="1337"/>
      <c r="EJ787" s="1335">
        <f t="shared" ref="EJ787:EJ796" si="50">IF(AND(DE787&gt;=1,AH787&gt;=0.1,AH787&lt;=1),O787,0)</f>
        <v>0</v>
      </c>
      <c r="EK787" s="1336"/>
      <c r="EL787" s="1336"/>
      <c r="EM787" s="1336"/>
      <c r="EN787" s="1337"/>
      <c r="EO787" s="1335">
        <f t="shared" ref="EO787:EO796" si="51">IF(AND(DJ787&gt;=1,AH787&gt;=0.1,AH787&lt;=1),O787,0)</f>
        <v>0</v>
      </c>
      <c r="EP787" s="1336"/>
      <c r="EQ787" s="1336"/>
      <c r="ER787" s="1336"/>
      <c r="ES787" s="1337"/>
      <c r="ET787" s="1335">
        <f t="shared" ref="ET787:ET796" si="52">IF(AND(DO787&gt;=1,AH787&gt;=0.1,AH787&lt;=1),O787,0)</f>
        <v>0</v>
      </c>
      <c r="EU787" s="1336"/>
      <c r="EV787" s="1336"/>
      <c r="EW787" s="1336"/>
      <c r="EX787" s="1337"/>
    </row>
    <row r="788" spans="1:154" s="14" customFormat="1" ht="13" customHeight="1">
      <c r="A788"/>
      <c r="B788"/>
      <c r="C788"/>
      <c r="D788"/>
      <c r="E788"/>
      <c r="F788"/>
      <c r="G788"/>
      <c r="H788"/>
      <c r="I788"/>
      <c r="J788" s="1358"/>
      <c r="K788" s="1359"/>
      <c r="L788" s="1359"/>
      <c r="M788" s="1359"/>
      <c r="N788" s="1360"/>
      <c r="O788" s="1467"/>
      <c r="P788" s="1467"/>
      <c r="Q788" s="1467"/>
      <c r="R788" s="1467"/>
      <c r="S788" s="1467"/>
      <c r="T788" s="1608"/>
      <c r="U788" s="1609"/>
      <c r="V788" s="1609"/>
      <c r="W788" s="1610"/>
      <c r="X788" s="1471"/>
      <c r="Y788" s="1472"/>
      <c r="Z788" s="1472"/>
      <c r="AA788" s="1472"/>
      <c r="AB788" s="1473"/>
      <c r="AC788" s="1361">
        <f t="shared" si="40"/>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5">
        <f t="shared" si="41"/>
        <v>0</v>
      </c>
      <c r="CQ788" s="1336"/>
      <c r="CR788" s="1336"/>
      <c r="CS788" s="1336"/>
      <c r="CT788" s="1337"/>
      <c r="CU788" s="1335">
        <f t="shared" si="42"/>
        <v>0</v>
      </c>
      <c r="CV788" s="1336"/>
      <c r="CW788" s="1336"/>
      <c r="CX788" s="1336"/>
      <c r="CY788" s="1337"/>
      <c r="CZ788" s="1335">
        <f t="shared" si="43"/>
        <v>0</v>
      </c>
      <c r="DA788" s="1336"/>
      <c r="DB788" s="1336"/>
      <c r="DC788" s="1336"/>
      <c r="DD788" s="1337"/>
      <c r="DE788" s="1335">
        <f t="shared" si="44"/>
        <v>0</v>
      </c>
      <c r="DF788" s="1336"/>
      <c r="DG788" s="1336"/>
      <c r="DH788" s="1336"/>
      <c r="DI788" s="1337"/>
      <c r="DJ788" s="1335">
        <f t="shared" si="45"/>
        <v>0</v>
      </c>
      <c r="DK788" s="1336"/>
      <c r="DL788" s="1336"/>
      <c r="DM788" s="1336"/>
      <c r="DN788" s="1337"/>
      <c r="DO788" s="1335">
        <f t="shared" si="46"/>
        <v>0</v>
      </c>
      <c r="DP788" s="1336"/>
      <c r="DQ788" s="1336"/>
      <c r="DR788" s="1336"/>
      <c r="DS788" s="1337"/>
      <c r="DT788" s="6"/>
      <c r="DU788" s="1335">
        <f t="shared" si="47"/>
        <v>0</v>
      </c>
      <c r="DV788" s="1336"/>
      <c r="DW788" s="1336"/>
      <c r="DX788" s="1336"/>
      <c r="DY788" s="1337"/>
      <c r="DZ788" s="1335">
        <f t="shared" si="48"/>
        <v>0</v>
      </c>
      <c r="EA788" s="1336"/>
      <c r="EB788" s="1336"/>
      <c r="EC788" s="1336"/>
      <c r="ED788" s="1337"/>
      <c r="EE788" s="1335">
        <f t="shared" si="49"/>
        <v>0</v>
      </c>
      <c r="EF788" s="1336"/>
      <c r="EG788" s="1336"/>
      <c r="EH788" s="1336"/>
      <c r="EI788" s="1337"/>
      <c r="EJ788" s="1335">
        <f t="shared" si="50"/>
        <v>0</v>
      </c>
      <c r="EK788" s="1336"/>
      <c r="EL788" s="1336"/>
      <c r="EM788" s="1336"/>
      <c r="EN788" s="1337"/>
      <c r="EO788" s="1335">
        <f t="shared" si="51"/>
        <v>0</v>
      </c>
      <c r="EP788" s="1336"/>
      <c r="EQ788" s="1336"/>
      <c r="ER788" s="1336"/>
      <c r="ES788" s="1337"/>
      <c r="ET788" s="1335">
        <f t="shared" si="52"/>
        <v>0</v>
      </c>
      <c r="EU788" s="1336"/>
      <c r="EV788" s="1336"/>
      <c r="EW788" s="1336"/>
      <c r="EX788" s="1337"/>
    </row>
    <row r="789" spans="1:154" s="14" customFormat="1" ht="13" customHeight="1">
      <c r="A789"/>
      <c r="B789"/>
      <c r="C789"/>
      <c r="D789"/>
      <c r="E789"/>
      <c r="F789"/>
      <c r="G789"/>
      <c r="H789"/>
      <c r="I789"/>
      <c r="J789" s="1358"/>
      <c r="K789" s="1359"/>
      <c r="L789" s="1359"/>
      <c r="M789" s="1359"/>
      <c r="N789" s="1360"/>
      <c r="O789" s="1467"/>
      <c r="P789" s="1467"/>
      <c r="Q789" s="1467"/>
      <c r="R789" s="1467"/>
      <c r="S789" s="1467"/>
      <c r="T789" s="1608"/>
      <c r="U789" s="1609"/>
      <c r="V789" s="1609"/>
      <c r="W789" s="1610"/>
      <c r="X789" s="1471"/>
      <c r="Y789" s="1472"/>
      <c r="Z789" s="1472"/>
      <c r="AA789" s="1472"/>
      <c r="AB789" s="1473"/>
      <c r="AC789" s="1361">
        <f t="shared" si="40"/>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5">
        <f t="shared" si="41"/>
        <v>0</v>
      </c>
      <c r="CQ789" s="1336"/>
      <c r="CR789" s="1336"/>
      <c r="CS789" s="1336"/>
      <c r="CT789" s="1337"/>
      <c r="CU789" s="1335">
        <f t="shared" si="42"/>
        <v>0</v>
      </c>
      <c r="CV789" s="1336"/>
      <c r="CW789" s="1336"/>
      <c r="CX789" s="1336"/>
      <c r="CY789" s="1337"/>
      <c r="CZ789" s="1335">
        <f t="shared" si="43"/>
        <v>0</v>
      </c>
      <c r="DA789" s="1336"/>
      <c r="DB789" s="1336"/>
      <c r="DC789" s="1336"/>
      <c r="DD789" s="1337"/>
      <c r="DE789" s="1335">
        <f t="shared" si="44"/>
        <v>0</v>
      </c>
      <c r="DF789" s="1336"/>
      <c r="DG789" s="1336"/>
      <c r="DH789" s="1336"/>
      <c r="DI789" s="1337"/>
      <c r="DJ789" s="1335">
        <f t="shared" si="45"/>
        <v>0</v>
      </c>
      <c r="DK789" s="1336"/>
      <c r="DL789" s="1336"/>
      <c r="DM789" s="1336"/>
      <c r="DN789" s="1337"/>
      <c r="DO789" s="1335">
        <f t="shared" si="46"/>
        <v>0</v>
      </c>
      <c r="DP789" s="1336"/>
      <c r="DQ789" s="1336"/>
      <c r="DR789" s="1336"/>
      <c r="DS789" s="1337"/>
      <c r="DT789" s="6"/>
      <c r="DU789" s="1335">
        <f t="shared" si="47"/>
        <v>0</v>
      </c>
      <c r="DV789" s="1336"/>
      <c r="DW789" s="1336"/>
      <c r="DX789" s="1336"/>
      <c r="DY789" s="1337"/>
      <c r="DZ789" s="1335">
        <f t="shared" si="48"/>
        <v>0</v>
      </c>
      <c r="EA789" s="1336"/>
      <c r="EB789" s="1336"/>
      <c r="EC789" s="1336"/>
      <c r="ED789" s="1337"/>
      <c r="EE789" s="1335">
        <f t="shared" si="49"/>
        <v>0</v>
      </c>
      <c r="EF789" s="1336"/>
      <c r="EG789" s="1336"/>
      <c r="EH789" s="1336"/>
      <c r="EI789" s="1337"/>
      <c r="EJ789" s="1335">
        <f t="shared" si="50"/>
        <v>0</v>
      </c>
      <c r="EK789" s="1336"/>
      <c r="EL789" s="1336"/>
      <c r="EM789" s="1336"/>
      <c r="EN789" s="1337"/>
      <c r="EO789" s="1335">
        <f t="shared" si="51"/>
        <v>0</v>
      </c>
      <c r="EP789" s="1336"/>
      <c r="EQ789" s="1336"/>
      <c r="ER789" s="1336"/>
      <c r="ES789" s="1337"/>
      <c r="ET789" s="1335">
        <f t="shared" si="52"/>
        <v>0</v>
      </c>
      <c r="EU789" s="1336"/>
      <c r="EV789" s="1336"/>
      <c r="EW789" s="1336"/>
      <c r="EX789" s="1337"/>
    </row>
    <row r="790" spans="1:154" s="14" customFormat="1" ht="13" customHeight="1">
      <c r="A790"/>
      <c r="B790"/>
      <c r="C790"/>
      <c r="D790"/>
      <c r="E790"/>
      <c r="F790"/>
      <c r="G790"/>
      <c r="H790"/>
      <c r="I790"/>
      <c r="J790" s="1358"/>
      <c r="K790" s="1359"/>
      <c r="L790" s="1359"/>
      <c r="M790" s="1359"/>
      <c r="N790" s="1360"/>
      <c r="O790" s="1467"/>
      <c r="P790" s="1467"/>
      <c r="Q790" s="1467"/>
      <c r="R790" s="1467"/>
      <c r="S790" s="1467"/>
      <c r="T790" s="1608"/>
      <c r="U790" s="1609"/>
      <c r="V790" s="1609"/>
      <c r="W790" s="1610"/>
      <c r="X790" s="1471"/>
      <c r="Y790" s="1472"/>
      <c r="Z790" s="1472"/>
      <c r="AA790" s="1472"/>
      <c r="AB790" s="1473"/>
      <c r="AC790" s="1361">
        <f t="shared" si="40"/>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5">
        <f t="shared" si="41"/>
        <v>0</v>
      </c>
      <c r="CQ790" s="1336"/>
      <c r="CR790" s="1336"/>
      <c r="CS790" s="1336"/>
      <c r="CT790" s="1337"/>
      <c r="CU790" s="1335">
        <f t="shared" si="42"/>
        <v>0</v>
      </c>
      <c r="CV790" s="1336"/>
      <c r="CW790" s="1336"/>
      <c r="CX790" s="1336"/>
      <c r="CY790" s="1337"/>
      <c r="CZ790" s="1335">
        <f t="shared" si="43"/>
        <v>0</v>
      </c>
      <c r="DA790" s="1336"/>
      <c r="DB790" s="1336"/>
      <c r="DC790" s="1336"/>
      <c r="DD790" s="1337"/>
      <c r="DE790" s="1335">
        <f t="shared" si="44"/>
        <v>0</v>
      </c>
      <c r="DF790" s="1336"/>
      <c r="DG790" s="1336"/>
      <c r="DH790" s="1336"/>
      <c r="DI790" s="1337"/>
      <c r="DJ790" s="1335">
        <f t="shared" si="45"/>
        <v>0</v>
      </c>
      <c r="DK790" s="1336"/>
      <c r="DL790" s="1336"/>
      <c r="DM790" s="1336"/>
      <c r="DN790" s="1337"/>
      <c r="DO790" s="1335">
        <f t="shared" si="46"/>
        <v>0</v>
      </c>
      <c r="DP790" s="1336"/>
      <c r="DQ790" s="1336"/>
      <c r="DR790" s="1336"/>
      <c r="DS790" s="1337"/>
      <c r="DT790" s="6"/>
      <c r="DU790" s="1335">
        <f t="shared" si="47"/>
        <v>0</v>
      </c>
      <c r="DV790" s="1336"/>
      <c r="DW790" s="1336"/>
      <c r="DX790" s="1336"/>
      <c r="DY790" s="1337"/>
      <c r="DZ790" s="1335">
        <f t="shared" si="48"/>
        <v>0</v>
      </c>
      <c r="EA790" s="1336"/>
      <c r="EB790" s="1336"/>
      <c r="EC790" s="1336"/>
      <c r="ED790" s="1337"/>
      <c r="EE790" s="1335">
        <f t="shared" si="49"/>
        <v>0</v>
      </c>
      <c r="EF790" s="1336"/>
      <c r="EG790" s="1336"/>
      <c r="EH790" s="1336"/>
      <c r="EI790" s="1337"/>
      <c r="EJ790" s="1335">
        <f t="shared" si="50"/>
        <v>0</v>
      </c>
      <c r="EK790" s="1336"/>
      <c r="EL790" s="1336"/>
      <c r="EM790" s="1336"/>
      <c r="EN790" s="1337"/>
      <c r="EO790" s="1335">
        <f t="shared" si="51"/>
        <v>0</v>
      </c>
      <c r="EP790" s="1336"/>
      <c r="EQ790" s="1336"/>
      <c r="ER790" s="1336"/>
      <c r="ES790" s="1337"/>
      <c r="ET790" s="1335">
        <f t="shared" si="52"/>
        <v>0</v>
      </c>
      <c r="EU790" s="1336"/>
      <c r="EV790" s="1336"/>
      <c r="EW790" s="1336"/>
      <c r="EX790" s="1337"/>
    </row>
    <row r="791" spans="1:154" s="14" customFormat="1" ht="13" customHeight="1">
      <c r="A791"/>
      <c r="B791"/>
      <c r="C791"/>
      <c r="D791"/>
      <c r="E791"/>
      <c r="F791"/>
      <c r="G791"/>
      <c r="H791"/>
      <c r="I791"/>
      <c r="J791" s="1358"/>
      <c r="K791" s="1359"/>
      <c r="L791" s="1359"/>
      <c r="M791" s="1359"/>
      <c r="N791" s="1360"/>
      <c r="O791" s="1467"/>
      <c r="P791" s="1467"/>
      <c r="Q791" s="1467"/>
      <c r="R791" s="1467"/>
      <c r="S791" s="1467"/>
      <c r="T791" s="1608"/>
      <c r="U791" s="1609"/>
      <c r="V791" s="1609"/>
      <c r="W791" s="1610"/>
      <c r="X791" s="1471"/>
      <c r="Y791" s="1472"/>
      <c r="Z791" s="1472"/>
      <c r="AA791" s="1472"/>
      <c r="AB791" s="1473"/>
      <c r="AC791" s="1361">
        <f t="shared" si="40"/>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5">
        <f t="shared" si="41"/>
        <v>0</v>
      </c>
      <c r="CQ791" s="1336"/>
      <c r="CR791" s="1336"/>
      <c r="CS791" s="1336"/>
      <c r="CT791" s="1337"/>
      <c r="CU791" s="1335">
        <f t="shared" si="42"/>
        <v>0</v>
      </c>
      <c r="CV791" s="1336"/>
      <c r="CW791" s="1336"/>
      <c r="CX791" s="1336"/>
      <c r="CY791" s="1337"/>
      <c r="CZ791" s="1335">
        <f t="shared" si="43"/>
        <v>0</v>
      </c>
      <c r="DA791" s="1336"/>
      <c r="DB791" s="1336"/>
      <c r="DC791" s="1336"/>
      <c r="DD791" s="1337"/>
      <c r="DE791" s="1335">
        <f t="shared" si="44"/>
        <v>0</v>
      </c>
      <c r="DF791" s="1336"/>
      <c r="DG791" s="1336"/>
      <c r="DH791" s="1336"/>
      <c r="DI791" s="1337"/>
      <c r="DJ791" s="1335">
        <f t="shared" si="45"/>
        <v>0</v>
      </c>
      <c r="DK791" s="1336"/>
      <c r="DL791" s="1336"/>
      <c r="DM791" s="1336"/>
      <c r="DN791" s="1337"/>
      <c r="DO791" s="1335">
        <f t="shared" si="46"/>
        <v>0</v>
      </c>
      <c r="DP791" s="1336"/>
      <c r="DQ791" s="1336"/>
      <c r="DR791" s="1336"/>
      <c r="DS791" s="1337"/>
      <c r="DT791" s="6"/>
      <c r="DU791" s="1335">
        <f t="shared" si="47"/>
        <v>0</v>
      </c>
      <c r="DV791" s="1336"/>
      <c r="DW791" s="1336"/>
      <c r="DX791" s="1336"/>
      <c r="DY791" s="1337"/>
      <c r="DZ791" s="1335">
        <f t="shared" si="48"/>
        <v>0</v>
      </c>
      <c r="EA791" s="1336"/>
      <c r="EB791" s="1336"/>
      <c r="EC791" s="1336"/>
      <c r="ED791" s="1337"/>
      <c r="EE791" s="1335">
        <f t="shared" si="49"/>
        <v>0</v>
      </c>
      <c r="EF791" s="1336"/>
      <c r="EG791" s="1336"/>
      <c r="EH791" s="1336"/>
      <c r="EI791" s="1337"/>
      <c r="EJ791" s="1335">
        <f t="shared" si="50"/>
        <v>0</v>
      </c>
      <c r="EK791" s="1336"/>
      <c r="EL791" s="1336"/>
      <c r="EM791" s="1336"/>
      <c r="EN791" s="1337"/>
      <c r="EO791" s="1335">
        <f t="shared" si="51"/>
        <v>0</v>
      </c>
      <c r="EP791" s="1336"/>
      <c r="EQ791" s="1336"/>
      <c r="ER791" s="1336"/>
      <c r="ES791" s="1337"/>
      <c r="ET791" s="1335">
        <f t="shared" si="52"/>
        <v>0</v>
      </c>
      <c r="EU791" s="1336"/>
      <c r="EV791" s="1336"/>
      <c r="EW791" s="1336"/>
      <c r="EX791" s="1337"/>
    </row>
    <row r="792" spans="1:154" s="14" customFormat="1" ht="13" customHeight="1">
      <c r="A792"/>
      <c r="B792"/>
      <c r="C792"/>
      <c r="D792"/>
      <c r="E792"/>
      <c r="F792"/>
      <c r="G792"/>
      <c r="H792"/>
      <c r="I792"/>
      <c r="J792" s="1358"/>
      <c r="K792" s="1359"/>
      <c r="L792" s="1359"/>
      <c r="M792" s="1359"/>
      <c r="N792" s="1360"/>
      <c r="O792" s="1467"/>
      <c r="P792" s="1467"/>
      <c r="Q792" s="1467"/>
      <c r="R792" s="1467"/>
      <c r="S792" s="1467"/>
      <c r="T792" s="1608"/>
      <c r="U792" s="1609"/>
      <c r="V792" s="1609"/>
      <c r="W792" s="1610"/>
      <c r="X792" s="1471"/>
      <c r="Y792" s="1472"/>
      <c r="Z792" s="1472"/>
      <c r="AA792" s="1472"/>
      <c r="AB792" s="1473"/>
      <c r="AC792" s="1361">
        <f t="shared" si="40"/>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5">
        <f t="shared" si="41"/>
        <v>0</v>
      </c>
      <c r="CQ792" s="1336"/>
      <c r="CR792" s="1336"/>
      <c r="CS792" s="1336"/>
      <c r="CT792" s="1337"/>
      <c r="CU792" s="1335">
        <f t="shared" si="42"/>
        <v>0</v>
      </c>
      <c r="CV792" s="1336"/>
      <c r="CW792" s="1336"/>
      <c r="CX792" s="1336"/>
      <c r="CY792" s="1337"/>
      <c r="CZ792" s="1335">
        <f t="shared" si="43"/>
        <v>0</v>
      </c>
      <c r="DA792" s="1336"/>
      <c r="DB792" s="1336"/>
      <c r="DC792" s="1336"/>
      <c r="DD792" s="1337"/>
      <c r="DE792" s="1335">
        <f t="shared" si="44"/>
        <v>0</v>
      </c>
      <c r="DF792" s="1336"/>
      <c r="DG792" s="1336"/>
      <c r="DH792" s="1336"/>
      <c r="DI792" s="1337"/>
      <c r="DJ792" s="1335">
        <f t="shared" si="45"/>
        <v>0</v>
      </c>
      <c r="DK792" s="1336"/>
      <c r="DL792" s="1336"/>
      <c r="DM792" s="1336"/>
      <c r="DN792" s="1337"/>
      <c r="DO792" s="1335">
        <f t="shared" si="46"/>
        <v>0</v>
      </c>
      <c r="DP792" s="1336"/>
      <c r="DQ792" s="1336"/>
      <c r="DR792" s="1336"/>
      <c r="DS792" s="1337"/>
      <c r="DT792" s="6"/>
      <c r="DU792" s="1335">
        <f t="shared" si="47"/>
        <v>0</v>
      </c>
      <c r="DV792" s="1336"/>
      <c r="DW792" s="1336"/>
      <c r="DX792" s="1336"/>
      <c r="DY792" s="1337"/>
      <c r="DZ792" s="1335">
        <f t="shared" si="48"/>
        <v>0</v>
      </c>
      <c r="EA792" s="1336"/>
      <c r="EB792" s="1336"/>
      <c r="EC792" s="1336"/>
      <c r="ED792" s="1337"/>
      <c r="EE792" s="1335">
        <f t="shared" si="49"/>
        <v>0</v>
      </c>
      <c r="EF792" s="1336"/>
      <c r="EG792" s="1336"/>
      <c r="EH792" s="1336"/>
      <c r="EI792" s="1337"/>
      <c r="EJ792" s="1335">
        <f t="shared" si="50"/>
        <v>0</v>
      </c>
      <c r="EK792" s="1336"/>
      <c r="EL792" s="1336"/>
      <c r="EM792" s="1336"/>
      <c r="EN792" s="1337"/>
      <c r="EO792" s="1335">
        <f t="shared" si="51"/>
        <v>0</v>
      </c>
      <c r="EP792" s="1336"/>
      <c r="EQ792" s="1336"/>
      <c r="ER792" s="1336"/>
      <c r="ES792" s="1337"/>
      <c r="ET792" s="1335">
        <f t="shared" si="52"/>
        <v>0</v>
      </c>
      <c r="EU792" s="1336"/>
      <c r="EV792" s="1336"/>
      <c r="EW792" s="1336"/>
      <c r="EX792" s="1337"/>
    </row>
    <row r="793" spans="1:154" s="14" customFormat="1" ht="13" customHeight="1">
      <c r="A793"/>
      <c r="B793"/>
      <c r="C793"/>
      <c r="D793"/>
      <c r="E793"/>
      <c r="F793"/>
      <c r="G793"/>
      <c r="H793"/>
      <c r="I793"/>
      <c r="J793" s="1358"/>
      <c r="K793" s="1359"/>
      <c r="L793" s="1359"/>
      <c r="M793" s="1359"/>
      <c r="N793" s="1360"/>
      <c r="O793" s="1467"/>
      <c r="P793" s="1467"/>
      <c r="Q793" s="1467"/>
      <c r="R793" s="1467"/>
      <c r="S793" s="1467"/>
      <c r="T793" s="1608"/>
      <c r="U793" s="1609"/>
      <c r="V793" s="1609"/>
      <c r="W793" s="1610"/>
      <c r="X793" s="1471"/>
      <c r="Y793" s="1472"/>
      <c r="Z793" s="1472"/>
      <c r="AA793" s="1472"/>
      <c r="AB793" s="1473"/>
      <c r="AC793" s="1361">
        <f t="shared" si="40"/>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5">
        <f t="shared" si="41"/>
        <v>0</v>
      </c>
      <c r="CQ793" s="1336"/>
      <c r="CR793" s="1336"/>
      <c r="CS793" s="1336"/>
      <c r="CT793" s="1337"/>
      <c r="CU793" s="1335">
        <f t="shared" si="42"/>
        <v>0</v>
      </c>
      <c r="CV793" s="1336"/>
      <c r="CW793" s="1336"/>
      <c r="CX793" s="1336"/>
      <c r="CY793" s="1337"/>
      <c r="CZ793" s="1335">
        <f t="shared" si="43"/>
        <v>0</v>
      </c>
      <c r="DA793" s="1336"/>
      <c r="DB793" s="1336"/>
      <c r="DC793" s="1336"/>
      <c r="DD793" s="1337"/>
      <c r="DE793" s="1335">
        <f t="shared" si="44"/>
        <v>0</v>
      </c>
      <c r="DF793" s="1336"/>
      <c r="DG793" s="1336"/>
      <c r="DH793" s="1336"/>
      <c r="DI793" s="1337"/>
      <c r="DJ793" s="1335">
        <f t="shared" si="45"/>
        <v>0</v>
      </c>
      <c r="DK793" s="1336"/>
      <c r="DL793" s="1336"/>
      <c r="DM793" s="1336"/>
      <c r="DN793" s="1337"/>
      <c r="DO793" s="1335">
        <f t="shared" si="46"/>
        <v>0</v>
      </c>
      <c r="DP793" s="1336"/>
      <c r="DQ793" s="1336"/>
      <c r="DR793" s="1336"/>
      <c r="DS793" s="1337"/>
      <c r="DT793" s="6"/>
      <c r="DU793" s="1335">
        <f t="shared" si="47"/>
        <v>0</v>
      </c>
      <c r="DV793" s="1336"/>
      <c r="DW793" s="1336"/>
      <c r="DX793" s="1336"/>
      <c r="DY793" s="1337"/>
      <c r="DZ793" s="1335">
        <f t="shared" si="48"/>
        <v>0</v>
      </c>
      <c r="EA793" s="1336"/>
      <c r="EB793" s="1336"/>
      <c r="EC793" s="1336"/>
      <c r="ED793" s="1337"/>
      <c r="EE793" s="1335">
        <f t="shared" si="49"/>
        <v>0</v>
      </c>
      <c r="EF793" s="1336"/>
      <c r="EG793" s="1336"/>
      <c r="EH793" s="1336"/>
      <c r="EI793" s="1337"/>
      <c r="EJ793" s="1335">
        <f t="shared" si="50"/>
        <v>0</v>
      </c>
      <c r="EK793" s="1336"/>
      <c r="EL793" s="1336"/>
      <c r="EM793" s="1336"/>
      <c r="EN793" s="1337"/>
      <c r="EO793" s="1335">
        <f t="shared" si="51"/>
        <v>0</v>
      </c>
      <c r="EP793" s="1336"/>
      <c r="EQ793" s="1336"/>
      <c r="ER793" s="1336"/>
      <c r="ES793" s="1337"/>
      <c r="ET793" s="1335">
        <f t="shared" si="52"/>
        <v>0</v>
      </c>
      <c r="EU793" s="1336"/>
      <c r="EV793" s="1336"/>
      <c r="EW793" s="1336"/>
      <c r="EX793" s="1337"/>
    </row>
    <row r="794" spans="1:154" s="14" customFormat="1" ht="13" customHeight="1">
      <c r="A794"/>
      <c r="B794"/>
      <c r="C794"/>
      <c r="D794"/>
      <c r="E794"/>
      <c r="F794"/>
      <c r="G794"/>
      <c r="H794"/>
      <c r="I794"/>
      <c r="J794" s="1358"/>
      <c r="K794" s="1359"/>
      <c r="L794" s="1359"/>
      <c r="M794" s="1359"/>
      <c r="N794" s="1360"/>
      <c r="O794" s="1467"/>
      <c r="P794" s="1467"/>
      <c r="Q794" s="1467"/>
      <c r="R794" s="1467"/>
      <c r="S794" s="1467"/>
      <c r="T794" s="1608"/>
      <c r="U794" s="1609"/>
      <c r="V794" s="1609"/>
      <c r="W794" s="1610"/>
      <c r="X794" s="1471"/>
      <c r="Y794" s="1472"/>
      <c r="Z794" s="1472"/>
      <c r="AA794" s="1472"/>
      <c r="AB794" s="1473"/>
      <c r="AC794" s="1361">
        <f t="shared" si="40"/>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5">
        <f t="shared" si="41"/>
        <v>0</v>
      </c>
      <c r="CQ794" s="1336"/>
      <c r="CR794" s="1336"/>
      <c r="CS794" s="1336"/>
      <c r="CT794" s="1337"/>
      <c r="CU794" s="1335">
        <f t="shared" si="42"/>
        <v>0</v>
      </c>
      <c r="CV794" s="1336"/>
      <c r="CW794" s="1336"/>
      <c r="CX794" s="1336"/>
      <c r="CY794" s="1337"/>
      <c r="CZ794" s="1335">
        <f t="shared" si="43"/>
        <v>0</v>
      </c>
      <c r="DA794" s="1336"/>
      <c r="DB794" s="1336"/>
      <c r="DC794" s="1336"/>
      <c r="DD794" s="1337"/>
      <c r="DE794" s="1335">
        <f t="shared" si="44"/>
        <v>0</v>
      </c>
      <c r="DF794" s="1336"/>
      <c r="DG794" s="1336"/>
      <c r="DH794" s="1336"/>
      <c r="DI794" s="1337"/>
      <c r="DJ794" s="1335">
        <f t="shared" si="45"/>
        <v>0</v>
      </c>
      <c r="DK794" s="1336"/>
      <c r="DL794" s="1336"/>
      <c r="DM794" s="1336"/>
      <c r="DN794" s="1337"/>
      <c r="DO794" s="1335">
        <f t="shared" si="46"/>
        <v>0</v>
      </c>
      <c r="DP794" s="1336"/>
      <c r="DQ794" s="1336"/>
      <c r="DR794" s="1336"/>
      <c r="DS794" s="1337"/>
      <c r="DT794" s="6"/>
      <c r="DU794" s="1335">
        <f t="shared" si="47"/>
        <v>0</v>
      </c>
      <c r="DV794" s="1336"/>
      <c r="DW794" s="1336"/>
      <c r="DX794" s="1336"/>
      <c r="DY794" s="1337"/>
      <c r="DZ794" s="1335">
        <f t="shared" si="48"/>
        <v>0</v>
      </c>
      <c r="EA794" s="1336"/>
      <c r="EB794" s="1336"/>
      <c r="EC794" s="1336"/>
      <c r="ED794" s="1337"/>
      <c r="EE794" s="1335">
        <f t="shared" si="49"/>
        <v>0</v>
      </c>
      <c r="EF794" s="1336"/>
      <c r="EG794" s="1336"/>
      <c r="EH794" s="1336"/>
      <c r="EI794" s="1337"/>
      <c r="EJ794" s="1335">
        <f t="shared" si="50"/>
        <v>0</v>
      </c>
      <c r="EK794" s="1336"/>
      <c r="EL794" s="1336"/>
      <c r="EM794" s="1336"/>
      <c r="EN794" s="1337"/>
      <c r="EO794" s="1335">
        <f t="shared" si="51"/>
        <v>0</v>
      </c>
      <c r="EP794" s="1336"/>
      <c r="EQ794" s="1336"/>
      <c r="ER794" s="1336"/>
      <c r="ES794" s="1337"/>
      <c r="ET794" s="1335">
        <f t="shared" si="52"/>
        <v>0</v>
      </c>
      <c r="EU794" s="1336"/>
      <c r="EV794" s="1336"/>
      <c r="EW794" s="1336"/>
      <c r="EX794" s="1337"/>
    </row>
    <row r="795" spans="1:154" s="14" customFormat="1" ht="13" customHeight="1">
      <c r="A795"/>
      <c r="B795"/>
      <c r="C795"/>
      <c r="D795"/>
      <c r="E795"/>
      <c r="F795"/>
      <c r="G795"/>
      <c r="H795"/>
      <c r="I795"/>
      <c r="J795" s="1358"/>
      <c r="K795" s="1359"/>
      <c r="L795" s="1359"/>
      <c r="M795" s="1359"/>
      <c r="N795" s="1360"/>
      <c r="O795" s="1467"/>
      <c r="P795" s="1467"/>
      <c r="Q795" s="1467"/>
      <c r="R795" s="1467"/>
      <c r="S795" s="1467"/>
      <c r="T795" s="1608"/>
      <c r="U795" s="1609"/>
      <c r="V795" s="1609"/>
      <c r="W795" s="1610"/>
      <c r="X795" s="1471"/>
      <c r="Y795" s="1472"/>
      <c r="Z795" s="1472"/>
      <c r="AA795" s="1472"/>
      <c r="AB795" s="1473"/>
      <c r="AC795" s="1361">
        <f t="shared" si="40"/>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5">
        <f t="shared" si="41"/>
        <v>0</v>
      </c>
      <c r="CQ795" s="1336"/>
      <c r="CR795" s="1336"/>
      <c r="CS795" s="1336"/>
      <c r="CT795" s="1337"/>
      <c r="CU795" s="1335">
        <f t="shared" si="42"/>
        <v>0</v>
      </c>
      <c r="CV795" s="1336"/>
      <c r="CW795" s="1336"/>
      <c r="CX795" s="1336"/>
      <c r="CY795" s="1337"/>
      <c r="CZ795" s="1335">
        <f t="shared" si="43"/>
        <v>0</v>
      </c>
      <c r="DA795" s="1336"/>
      <c r="DB795" s="1336"/>
      <c r="DC795" s="1336"/>
      <c r="DD795" s="1337"/>
      <c r="DE795" s="1335">
        <f t="shared" si="44"/>
        <v>0</v>
      </c>
      <c r="DF795" s="1336"/>
      <c r="DG795" s="1336"/>
      <c r="DH795" s="1336"/>
      <c r="DI795" s="1337"/>
      <c r="DJ795" s="1335">
        <f t="shared" si="45"/>
        <v>0</v>
      </c>
      <c r="DK795" s="1336"/>
      <c r="DL795" s="1336"/>
      <c r="DM795" s="1336"/>
      <c r="DN795" s="1337"/>
      <c r="DO795" s="1335">
        <f t="shared" si="46"/>
        <v>0</v>
      </c>
      <c r="DP795" s="1336"/>
      <c r="DQ795" s="1336"/>
      <c r="DR795" s="1336"/>
      <c r="DS795" s="1337"/>
      <c r="DT795" s="6"/>
      <c r="DU795" s="1335">
        <f t="shared" si="47"/>
        <v>0</v>
      </c>
      <c r="DV795" s="1336"/>
      <c r="DW795" s="1336"/>
      <c r="DX795" s="1336"/>
      <c r="DY795" s="1337"/>
      <c r="DZ795" s="1335">
        <f t="shared" si="48"/>
        <v>0</v>
      </c>
      <c r="EA795" s="1336"/>
      <c r="EB795" s="1336"/>
      <c r="EC795" s="1336"/>
      <c r="ED795" s="1337"/>
      <c r="EE795" s="1335">
        <f t="shared" si="49"/>
        <v>0</v>
      </c>
      <c r="EF795" s="1336"/>
      <c r="EG795" s="1336"/>
      <c r="EH795" s="1336"/>
      <c r="EI795" s="1337"/>
      <c r="EJ795" s="1335">
        <f t="shared" si="50"/>
        <v>0</v>
      </c>
      <c r="EK795" s="1336"/>
      <c r="EL795" s="1336"/>
      <c r="EM795" s="1336"/>
      <c r="EN795" s="1337"/>
      <c r="EO795" s="1335">
        <f t="shared" si="51"/>
        <v>0</v>
      </c>
      <c r="EP795" s="1336"/>
      <c r="EQ795" s="1336"/>
      <c r="ER795" s="1336"/>
      <c r="ES795" s="1337"/>
      <c r="ET795" s="1335">
        <f t="shared" si="52"/>
        <v>0</v>
      </c>
      <c r="EU795" s="1336"/>
      <c r="EV795" s="1336"/>
      <c r="EW795" s="1336"/>
      <c r="EX795" s="1337"/>
    </row>
    <row r="796" spans="1:154" s="4" customFormat="1" ht="13" customHeight="1">
      <c r="A796"/>
      <c r="B796"/>
      <c r="C796"/>
      <c r="D796"/>
      <c r="E796"/>
      <c r="F796"/>
      <c r="G796"/>
      <c r="H796"/>
      <c r="I796"/>
      <c r="J796" s="1358"/>
      <c r="K796" s="1359"/>
      <c r="L796" s="1359"/>
      <c r="M796" s="1359"/>
      <c r="N796" s="1360"/>
      <c r="O796" s="1467"/>
      <c r="P796" s="1467"/>
      <c r="Q796" s="1467"/>
      <c r="R796" s="1467"/>
      <c r="S796" s="1467"/>
      <c r="T796" s="1608"/>
      <c r="U796" s="1609"/>
      <c r="V796" s="1609"/>
      <c r="W796" s="1610"/>
      <c r="X796" s="1471"/>
      <c r="Y796" s="1472"/>
      <c r="Z796" s="1472"/>
      <c r="AA796" s="1472"/>
      <c r="AB796" s="1473"/>
      <c r="AC796" s="1361">
        <f t="shared" si="40"/>
        <v>0</v>
      </c>
      <c r="AD796" s="1362"/>
      <c r="AE796" s="1362"/>
      <c r="AF796" s="1362"/>
      <c r="AG796" s="1363"/>
      <c r="AH796"/>
      <c r="AI796"/>
      <c r="AJ796"/>
      <c r="AK796"/>
      <c r="AL796"/>
      <c r="AM796"/>
      <c r="AN796"/>
      <c r="AO796"/>
      <c r="AP796"/>
      <c r="AQ796"/>
      <c r="AR796"/>
      <c r="AS796"/>
      <c r="AT796"/>
      <c r="AU796"/>
      <c r="AV796"/>
      <c r="AW796"/>
      <c r="AX796"/>
      <c r="AY796"/>
      <c r="AZ796" s="3"/>
      <c r="CP796" s="1335">
        <f t="shared" si="41"/>
        <v>0</v>
      </c>
      <c r="CQ796" s="1336"/>
      <c r="CR796" s="1336"/>
      <c r="CS796" s="1336"/>
      <c r="CT796" s="1337"/>
      <c r="CU796" s="1335">
        <f t="shared" si="42"/>
        <v>0</v>
      </c>
      <c r="CV796" s="1336"/>
      <c r="CW796" s="1336"/>
      <c r="CX796" s="1336"/>
      <c r="CY796" s="1337"/>
      <c r="CZ796" s="1335">
        <f t="shared" si="43"/>
        <v>0</v>
      </c>
      <c r="DA796" s="1336"/>
      <c r="DB796" s="1336"/>
      <c r="DC796" s="1336"/>
      <c r="DD796" s="1337"/>
      <c r="DE796" s="1335">
        <f t="shared" si="44"/>
        <v>0</v>
      </c>
      <c r="DF796" s="1336"/>
      <c r="DG796" s="1336"/>
      <c r="DH796" s="1336"/>
      <c r="DI796" s="1337"/>
      <c r="DJ796" s="1335">
        <f t="shared" si="45"/>
        <v>0</v>
      </c>
      <c r="DK796" s="1336"/>
      <c r="DL796" s="1336"/>
      <c r="DM796" s="1336"/>
      <c r="DN796" s="1337"/>
      <c r="DO796" s="1335">
        <f t="shared" si="46"/>
        <v>0</v>
      </c>
      <c r="DP796" s="1336"/>
      <c r="DQ796" s="1336"/>
      <c r="DR796" s="1336"/>
      <c r="DS796" s="1337"/>
      <c r="DT796" s="6"/>
      <c r="DU796" s="1335">
        <f t="shared" si="47"/>
        <v>0</v>
      </c>
      <c r="DV796" s="1336"/>
      <c r="DW796" s="1336"/>
      <c r="DX796" s="1336"/>
      <c r="DY796" s="1337"/>
      <c r="DZ796" s="1335">
        <f t="shared" si="48"/>
        <v>0</v>
      </c>
      <c r="EA796" s="1336"/>
      <c r="EB796" s="1336"/>
      <c r="EC796" s="1336"/>
      <c r="ED796" s="1337"/>
      <c r="EE796" s="1335">
        <f t="shared" si="49"/>
        <v>0</v>
      </c>
      <c r="EF796" s="1336"/>
      <c r="EG796" s="1336"/>
      <c r="EH796" s="1336"/>
      <c r="EI796" s="1337"/>
      <c r="EJ796" s="1335">
        <f t="shared" si="50"/>
        <v>0</v>
      </c>
      <c r="EK796" s="1336"/>
      <c r="EL796" s="1336"/>
      <c r="EM796" s="1336"/>
      <c r="EN796" s="1337"/>
      <c r="EO796" s="1335">
        <f t="shared" si="51"/>
        <v>0</v>
      </c>
      <c r="EP796" s="1336"/>
      <c r="EQ796" s="1336"/>
      <c r="ER796" s="1336"/>
      <c r="ES796" s="1337"/>
      <c r="ET796" s="1335">
        <f t="shared" si="52"/>
        <v>0</v>
      </c>
      <c r="EU796" s="1336"/>
      <c r="EV796" s="1336"/>
      <c r="EW796" s="1336"/>
      <c r="EX796" s="1337"/>
    </row>
    <row r="797" spans="1:154" s="4" customFormat="1" ht="13" customHeight="1">
      <c r="A797"/>
      <c r="B797"/>
      <c r="C797"/>
      <c r="D797"/>
      <c r="E797"/>
      <c r="F797"/>
      <c r="G797"/>
      <c r="H797"/>
      <c r="I797"/>
      <c r="J797" s="1411" t="s">
        <v>125</v>
      </c>
      <c r="K797" s="1412"/>
      <c r="L797" s="1412"/>
      <c r="M797" s="1412"/>
      <c r="N797" s="1414"/>
      <c r="O797" s="1629">
        <f>SUM(O787:S796)</f>
        <v>0</v>
      </c>
      <c r="P797" s="1629"/>
      <c r="Q797" s="1629"/>
      <c r="R797" s="1629"/>
      <c r="S797" s="1629"/>
      <c r="T797"/>
      <c r="U797"/>
      <c r="V797"/>
      <c r="W797"/>
      <c r="X797" s="902" t="s">
        <v>124</v>
      </c>
      <c r="Y797" s="11"/>
      <c r="Z797" s="11"/>
      <c r="AA797" s="11"/>
      <c r="AB797" s="909"/>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CP797" s="1338">
        <f>SUM(CP787:CT796)</f>
        <v>0</v>
      </c>
      <c r="CQ797" s="1339"/>
      <c r="CR797" s="1339"/>
      <c r="CS797" s="1339"/>
      <c r="CT797" s="1340"/>
      <c r="CU797" s="1351">
        <f>SUM(CU787:CY796)</f>
        <v>0</v>
      </c>
      <c r="CV797" s="1352"/>
      <c r="CW797" s="1352"/>
      <c r="CX797" s="1352"/>
      <c r="CY797" s="1353"/>
      <c r="CZ797" s="1351">
        <f>SUM(CZ787:DD796)</f>
        <v>0</v>
      </c>
      <c r="DA797" s="1352"/>
      <c r="DB797" s="1352"/>
      <c r="DC797" s="1352"/>
      <c r="DD797" s="1353"/>
      <c r="DE797" s="1351">
        <f>SUM(DE787:DI796)</f>
        <v>0</v>
      </c>
      <c r="DF797" s="1352"/>
      <c r="DG797" s="1352"/>
      <c r="DH797" s="1352"/>
      <c r="DI797" s="1353"/>
      <c r="DJ797" s="1351">
        <f>SUM(DJ787:DN796)</f>
        <v>0</v>
      </c>
      <c r="DK797" s="1352"/>
      <c r="DL797" s="1352"/>
      <c r="DM797" s="1352"/>
      <c r="DN797" s="1353"/>
      <c r="DO797" s="1351">
        <f>SUM(DO787:DS796)</f>
        <v>0</v>
      </c>
      <c r="DP797" s="1352"/>
      <c r="DQ797" s="1352"/>
      <c r="DR797" s="1352"/>
      <c r="DS797" s="1353"/>
      <c r="DT797" s="1012"/>
      <c r="DU797" s="1338">
        <f>SUM(DU787:DY796)</f>
        <v>0</v>
      </c>
      <c r="DV797" s="1339"/>
      <c r="DW797" s="1339"/>
      <c r="DX797" s="1339"/>
      <c r="DY797" s="1340"/>
      <c r="DZ797" s="1338">
        <f>SUM(DZ787:ED796)</f>
        <v>0</v>
      </c>
      <c r="EA797" s="1339"/>
      <c r="EB797" s="1339"/>
      <c r="EC797" s="1339"/>
      <c r="ED797" s="1340"/>
      <c r="EE797" s="1338">
        <f>SUM(EE787:EI796)</f>
        <v>0</v>
      </c>
      <c r="EF797" s="1339"/>
      <c r="EG797" s="1339"/>
      <c r="EH797" s="1339"/>
      <c r="EI797" s="1340"/>
      <c r="EJ797" s="1338">
        <f>SUM(EJ787:EN796)</f>
        <v>0</v>
      </c>
      <c r="EK797" s="1339"/>
      <c r="EL797" s="1339"/>
      <c r="EM797" s="1339"/>
      <c r="EN797" s="1340"/>
      <c r="EO797" s="1338">
        <f>SUM(EO787:ES796)</f>
        <v>0</v>
      </c>
      <c r="EP797" s="1339"/>
      <c r="EQ797" s="1339"/>
      <c r="ER797" s="1339"/>
      <c r="ES797" s="1340"/>
      <c r="ET797" s="1338">
        <f>SUM(ET787:EX796)</f>
        <v>0</v>
      </c>
      <c r="EU797" s="1339"/>
      <c r="EV797" s="1339"/>
      <c r="EW797" s="1339"/>
      <c r="EX797" s="1340"/>
    </row>
    <row r="798" spans="1:154" s="4" customFormat="1" ht="13" customHeight="1">
      <c r="A798"/>
      <c r="B798"/>
      <c r="C798" s="1377" t="str">
        <f>IF(O797&lt;&gt;AG438,"! Total market rate units in the Unit Mix Table above does not match the number of  market rate units on row #"&amp;TEXT(ROW(D438),"#"),"")</f>
        <v/>
      </c>
      <c r="D798" s="1377"/>
      <c r="E798" s="1377"/>
      <c r="F798" s="1377"/>
      <c r="G798" s="1377"/>
      <c r="H798" s="1377"/>
      <c r="I798" s="1377"/>
      <c r="J798" s="1377"/>
      <c r="K798" s="1377"/>
      <c r="L798" s="1377"/>
      <c r="M798" s="1377"/>
      <c r="N798" s="1377"/>
      <c r="O798" s="1377"/>
      <c r="P798" s="1377"/>
      <c r="Q798" s="1377"/>
      <c r="R798" s="1377"/>
      <c r="S798" s="1377"/>
      <c r="T798" s="1377"/>
      <c r="U798" s="1377"/>
      <c r="V798" s="1377"/>
      <c r="W798" s="1377"/>
      <c r="X798" s="1377"/>
      <c r="Y798" s="1377"/>
      <c r="Z798" s="1377"/>
      <c r="AA798" s="1377"/>
      <c r="AB798" s="1377"/>
      <c r="AC798" s="1377"/>
      <c r="AD798" s="1377"/>
      <c r="AE798" s="1377"/>
      <c r="AF798" s="1377"/>
      <c r="AG798" s="1377"/>
      <c r="AH798" s="1377"/>
      <c r="AI798" s="1377"/>
      <c r="AJ798" s="1377"/>
      <c r="AK798" s="1377"/>
      <c r="AL798" s="1377"/>
      <c r="AM798" s="1377"/>
      <c r="AN798" s="1377"/>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7"/>
      <c r="D799" s="1377"/>
      <c r="E799" s="1377"/>
      <c r="F799" s="1377"/>
      <c r="G799" s="1377"/>
      <c r="H799" s="1377"/>
      <c r="I799" s="1377"/>
      <c r="J799" s="1377"/>
      <c r="K799" s="1377"/>
      <c r="L799" s="1377"/>
      <c r="M799" s="1377"/>
      <c r="N799" s="1377"/>
      <c r="O799" s="1377"/>
      <c r="P799" s="1377"/>
      <c r="Q799" s="1377"/>
      <c r="R799" s="1377"/>
      <c r="S799" s="1377"/>
      <c r="T799" s="1377"/>
      <c r="U799" s="1377"/>
      <c r="V799" s="1377"/>
      <c r="W799" s="1377"/>
      <c r="X799" s="1377"/>
      <c r="Y799" s="1377"/>
      <c r="Z799" s="1377"/>
      <c r="AA799" s="1377"/>
      <c r="AB799" s="1377"/>
      <c r="AC799" s="1377"/>
      <c r="AD799" s="1377"/>
      <c r="AE799" s="1377"/>
      <c r="AF799" s="1377"/>
      <c r="AG799" s="1377"/>
      <c r="AH799" s="1377"/>
      <c r="AI799" s="1377"/>
      <c r="AJ799" s="1377"/>
      <c r="AK799" s="1377"/>
      <c r="AL799" s="1377"/>
      <c r="AM799" s="1377"/>
      <c r="AN799" s="1377"/>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8">
        <f>SUM(DU797:EX797)</f>
        <v>0</v>
      </c>
      <c r="EU799" s="1349"/>
      <c r="EV799" s="1349"/>
      <c r="EW799" s="1349"/>
      <c r="EX799" s="1350"/>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5">
        <f>O753+AC777+AC797</f>
        <v>165484</v>
      </c>
      <c r="Z800" s="1605"/>
      <c r="AA800" s="1605"/>
      <c r="AB800" s="1605"/>
      <c r="AC800" s="16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5">
        <f>(O753+AC777+AC797)*12</f>
        <v>1985808</v>
      </c>
      <c r="Z801" s="1605"/>
      <c r="AA801" s="1605"/>
      <c r="AB801" s="1605"/>
      <c r="AC801" s="16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1">
        <f>CP753+CP777+CP797</f>
        <v>0</v>
      </c>
      <c r="CQ802" s="1352"/>
      <c r="CR802" s="1352"/>
      <c r="CS802" s="1352"/>
      <c r="CT802" s="1353"/>
      <c r="CU802" s="1351">
        <f>CU753+CU777+CU797</f>
        <v>43</v>
      </c>
      <c r="CV802" s="1352"/>
      <c r="CW802" s="1352"/>
      <c r="CX802" s="1352"/>
      <c r="CY802" s="1353"/>
      <c r="CZ802" s="1351">
        <f>CZ753+CZ777+CZ797</f>
        <v>24</v>
      </c>
      <c r="DA802" s="1352"/>
      <c r="DB802" s="1352"/>
      <c r="DC802" s="1352"/>
      <c r="DD802" s="1353"/>
      <c r="DE802" s="1351">
        <f>DE753+DE777+DE797</f>
        <v>23</v>
      </c>
      <c r="DF802" s="1352"/>
      <c r="DG802" s="1352"/>
      <c r="DH802" s="1352"/>
      <c r="DI802" s="1353"/>
      <c r="DJ802" s="1351">
        <f>DJ753+DJ777+DJ797</f>
        <v>0</v>
      </c>
      <c r="DK802" s="1352"/>
      <c r="DL802" s="1352"/>
      <c r="DM802" s="1352"/>
      <c r="DN802" s="1353"/>
      <c r="DO802" s="1354">
        <f>DO797+DO777+DO753</f>
        <v>0</v>
      </c>
      <c r="DP802" s="1355"/>
      <c r="DQ802" s="1355"/>
      <c r="DR802" s="1355"/>
      <c r="DS802" s="1356"/>
      <c r="DT802" s="3"/>
      <c r="DU802" s="861">
        <f>DU755+DU800</f>
        <v>158</v>
      </c>
      <c r="DV802" s="57" t="s">
        <v>1865</v>
      </c>
    </row>
    <row r="803" spans="1:126" s="4" customFormat="1" ht="13"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8">
        <v>0</v>
      </c>
      <c r="AA806" s="1612"/>
      <c r="AB806" s="1612"/>
      <c r="AC806" s="1612"/>
      <c r="AD806" s="1612"/>
      <c r="AE806" s="161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1" t="s">
        <v>592</v>
      </c>
      <c r="AA807" s="1612"/>
      <c r="AB807" s="1612"/>
      <c r="AC807" s="1612"/>
      <c r="AD807" s="1612"/>
      <c r="AE807" s="161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7" t="s">
        <v>592</v>
      </c>
      <c r="AA808" s="1530"/>
      <c r="AB808" s="1530"/>
      <c r="AC808" s="1530"/>
      <c r="AD808" s="1530"/>
      <c r="AE808" s="162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5">
        <f>'Subsidy Contract Calculation'!J40</f>
        <v>0</v>
      </c>
      <c r="AA809" s="1476"/>
      <c r="AB809" s="1476"/>
      <c r="AC809" s="1476"/>
      <c r="AD809" s="1476"/>
      <c r="AE809" s="147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8">
        <v>10800</v>
      </c>
      <c r="AA813" s="1341"/>
      <c r="AB813" s="1341"/>
      <c r="AC813" s="1341"/>
      <c r="AD813" s="1341"/>
      <c r="AE813" s="134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8"/>
      <c r="AA814" s="1341"/>
      <c r="AB814" s="1341"/>
      <c r="AC814" s="1341"/>
      <c r="AD814" s="1341"/>
      <c r="AE814" s="134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8"/>
      <c r="AA815" s="1341"/>
      <c r="AB815" s="1341"/>
      <c r="AC815" s="1341"/>
      <c r="AD815" s="1341"/>
      <c r="AE815" s="134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7" t="s">
        <v>2728</v>
      </c>
      <c r="Q816" s="1648"/>
      <c r="R816" s="1648"/>
      <c r="S816" s="1648"/>
      <c r="T816" s="1648"/>
      <c r="U816" s="1648"/>
      <c r="V816" s="1648"/>
      <c r="W816" s="1648"/>
      <c r="X816" s="1648"/>
      <c r="Y816" s="1649"/>
      <c r="Z816" s="1478">
        <v>10800</v>
      </c>
      <c r="AA816" s="1341"/>
      <c r="AB816" s="1341"/>
      <c r="AC816" s="1341"/>
      <c r="AD816" s="1341"/>
      <c r="AE816" s="134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5">
        <f>SUM(Z813:AE816)</f>
        <v>21600</v>
      </c>
      <c r="AA817" s="1476"/>
      <c r="AB817" s="1476"/>
      <c r="AC817" s="1476"/>
      <c r="AD817" s="1476"/>
      <c r="AE817" s="1477"/>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5">
        <f>Z817+Y801+Z809</f>
        <v>2007408</v>
      </c>
      <c r="AA818" s="1476"/>
      <c r="AB818" s="1476"/>
      <c r="AC818" s="1476"/>
      <c r="AD818" s="1476"/>
      <c r="AE818" s="147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91" t="s">
        <v>126</v>
      </c>
      <c r="N823" s="1691"/>
      <c r="O823" s="1691"/>
      <c r="P823" s="1692"/>
      <c r="Q823" s="1626" t="s">
        <v>290</v>
      </c>
      <c r="R823" s="1626"/>
      <c r="S823" s="1626"/>
      <c r="T823" s="1626"/>
      <c r="U823" s="1626" t="s">
        <v>291</v>
      </c>
      <c r="V823" s="1626"/>
      <c r="W823" s="1626"/>
      <c r="X823" s="1626"/>
      <c r="Y823" s="1626" t="s">
        <v>292</v>
      </c>
      <c r="Z823" s="1626"/>
      <c r="AA823" s="1626"/>
      <c r="AB823" s="1626"/>
      <c r="AC823" s="1626" t="s">
        <v>361</v>
      </c>
      <c r="AD823" s="1626"/>
      <c r="AE823" s="1626"/>
      <c r="AF823" s="1626"/>
      <c r="AG823" s="1621" t="s">
        <v>335</v>
      </c>
      <c r="AH823" s="1621"/>
      <c r="AI823" s="1621"/>
      <c r="AJ823" s="1621"/>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3"/>
      <c r="N824" s="1693"/>
      <c r="O824" s="1693"/>
      <c r="P824" s="1694"/>
      <c r="Q824" s="1626"/>
      <c r="R824" s="1626"/>
      <c r="S824" s="1626"/>
      <c r="T824" s="1626"/>
      <c r="U824" s="1626"/>
      <c r="V824" s="1626"/>
      <c r="W824" s="1626"/>
      <c r="X824" s="1626"/>
      <c r="Y824" s="1626"/>
      <c r="Z824" s="1626"/>
      <c r="AA824" s="1626"/>
      <c r="AB824" s="1626"/>
      <c r="AC824" s="1626"/>
      <c r="AD824" s="1626"/>
      <c r="AE824" s="1626"/>
      <c r="AF824" s="1626"/>
      <c r="AG824" s="1621"/>
      <c r="AH824" s="1621"/>
      <c r="AI824" s="1621"/>
      <c r="AJ824" s="1621"/>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7" t="s">
        <v>40</v>
      </c>
      <c r="D825" s="1486"/>
      <c r="E825" s="1486"/>
      <c r="F825" s="1486"/>
      <c r="G825" s="1486"/>
      <c r="H825" s="1486"/>
      <c r="I825" s="48"/>
      <c r="J825" s="48"/>
      <c r="K825" s="48"/>
      <c r="L825" s="49"/>
      <c r="M825" s="1604"/>
      <c r="N825" s="1604"/>
      <c r="O825" s="1604"/>
      <c r="P825" s="1604"/>
      <c r="Q825" s="1604">
        <v>28</v>
      </c>
      <c r="R825" s="1604"/>
      <c r="S825" s="1604"/>
      <c r="T825" s="1604"/>
      <c r="U825" s="1604">
        <v>32</v>
      </c>
      <c r="V825" s="1604"/>
      <c r="W825" s="1604"/>
      <c r="X825" s="1604"/>
      <c r="Y825" s="1604">
        <v>36</v>
      </c>
      <c r="Z825" s="1604"/>
      <c r="AA825" s="1604"/>
      <c r="AB825" s="1604"/>
      <c r="AC825" s="1494"/>
      <c r="AD825" s="1495"/>
      <c r="AE825" s="1495"/>
      <c r="AF825" s="1496"/>
      <c r="AG825" s="1494"/>
      <c r="AH825" s="1495"/>
      <c r="AI825" s="1495"/>
      <c r="AJ825" s="1496"/>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499" t="s">
        <v>41</v>
      </c>
      <c r="D826" s="1444"/>
      <c r="E826" s="1444"/>
      <c r="F826" s="1444"/>
      <c r="G826" s="1444"/>
      <c r="H826" s="1444"/>
      <c r="I826" s="5"/>
      <c r="J826" s="5"/>
      <c r="K826" s="5"/>
      <c r="L826" s="46"/>
      <c r="M826" s="1604"/>
      <c r="N826" s="1604"/>
      <c r="O826" s="1604"/>
      <c r="P826" s="1604"/>
      <c r="Q826" s="1604"/>
      <c r="R826" s="1604"/>
      <c r="S826" s="1604"/>
      <c r="T826" s="1604"/>
      <c r="U826" s="1604"/>
      <c r="V826" s="1604"/>
      <c r="W826" s="1604"/>
      <c r="X826" s="1604"/>
      <c r="Y826" s="1604"/>
      <c r="Z826" s="1604"/>
      <c r="AA826" s="1604"/>
      <c r="AB826" s="1604"/>
      <c r="AC826" s="1494"/>
      <c r="AD826" s="1495"/>
      <c r="AE826" s="1495"/>
      <c r="AF826" s="1496"/>
      <c r="AG826" s="1494"/>
      <c r="AH826" s="1495"/>
      <c r="AI826" s="1495"/>
      <c r="AJ826" s="1496"/>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499" t="s">
        <v>42</v>
      </c>
      <c r="D827" s="1444"/>
      <c r="E827" s="1444"/>
      <c r="F827" s="1444"/>
      <c r="G827" s="1444"/>
      <c r="H827" s="1444"/>
      <c r="I827" s="60"/>
      <c r="J827" s="60"/>
      <c r="K827" s="60"/>
      <c r="L827" s="61"/>
      <c r="M827" s="1604"/>
      <c r="N827" s="1604"/>
      <c r="O827" s="1604"/>
      <c r="P827" s="1604"/>
      <c r="Q827" s="1604">
        <v>12</v>
      </c>
      <c r="R827" s="1604"/>
      <c r="S827" s="1604"/>
      <c r="T827" s="1604"/>
      <c r="U827" s="1604">
        <v>18</v>
      </c>
      <c r="V827" s="1604"/>
      <c r="W827" s="1604"/>
      <c r="X827" s="1604"/>
      <c r="Y827" s="1604">
        <v>28</v>
      </c>
      <c r="Z827" s="1604"/>
      <c r="AA827" s="1604"/>
      <c r="AB827" s="1604"/>
      <c r="AC827" s="1494"/>
      <c r="AD827" s="1495"/>
      <c r="AE827" s="1495"/>
      <c r="AF827" s="1496"/>
      <c r="AG827" s="1494"/>
      <c r="AH827" s="1495"/>
      <c r="AI827" s="1495"/>
      <c r="AJ827" s="1496"/>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499" t="s">
        <v>763</v>
      </c>
      <c r="D828" s="1444"/>
      <c r="E828" s="1444"/>
      <c r="F828" s="1444"/>
      <c r="G828" s="1444"/>
      <c r="H828" s="1444"/>
      <c r="I828" s="60"/>
      <c r="J828" s="60"/>
      <c r="K828" s="60"/>
      <c r="L828" s="61"/>
      <c r="M828" s="1604"/>
      <c r="N828" s="1604"/>
      <c r="O828" s="1604"/>
      <c r="P828" s="1604"/>
      <c r="Q828" s="1604"/>
      <c r="R828" s="1604"/>
      <c r="S828" s="1604"/>
      <c r="T828" s="1604"/>
      <c r="U828" s="1604"/>
      <c r="V828" s="1604"/>
      <c r="W828" s="1604"/>
      <c r="X828" s="1604"/>
      <c r="Y828" s="1604"/>
      <c r="Z828" s="1604"/>
      <c r="AA828" s="1604"/>
      <c r="AB828" s="1604"/>
      <c r="AC828" s="1494"/>
      <c r="AD828" s="1495"/>
      <c r="AE828" s="1495"/>
      <c r="AF828" s="1496"/>
      <c r="AG828" s="1494"/>
      <c r="AH828" s="1495"/>
      <c r="AI828" s="1495"/>
      <c r="AJ828" s="1496"/>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499" t="s">
        <v>460</v>
      </c>
      <c r="D829" s="1444"/>
      <c r="E829" s="1444"/>
      <c r="F829" s="1444"/>
      <c r="G829" s="1444"/>
      <c r="H829" s="1444"/>
      <c r="I829" s="60"/>
      <c r="J829" s="60"/>
      <c r="K829" s="60"/>
      <c r="L829" s="61"/>
      <c r="M829" s="1604"/>
      <c r="N829" s="1604"/>
      <c r="O829" s="1604"/>
      <c r="P829" s="1604"/>
      <c r="Q829" s="1604"/>
      <c r="R829" s="1604"/>
      <c r="S829" s="1604"/>
      <c r="T829" s="1604"/>
      <c r="U829" s="1604"/>
      <c r="V829" s="1604"/>
      <c r="W829" s="1604"/>
      <c r="X829" s="1604"/>
      <c r="Y829" s="1604"/>
      <c r="Z829" s="1604"/>
      <c r="AA829" s="1604"/>
      <c r="AB829" s="1604"/>
      <c r="AC829" s="1494"/>
      <c r="AD829" s="1495"/>
      <c r="AE829" s="1495"/>
      <c r="AF829" s="1496"/>
      <c r="AG829" s="1494"/>
      <c r="AH829" s="1495"/>
      <c r="AI829" s="1495"/>
      <c r="AJ829" s="1496"/>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6" t="s">
        <v>784</v>
      </c>
      <c r="D830" s="1444"/>
      <c r="E830" s="1444"/>
      <c r="F830" s="1444"/>
      <c r="G830" s="1444"/>
      <c r="H830" s="1444"/>
      <c r="I830" s="60"/>
      <c r="J830" s="60"/>
      <c r="K830" s="60"/>
      <c r="L830" s="61"/>
      <c r="M830" s="1604"/>
      <c r="N830" s="1604"/>
      <c r="O830" s="1604"/>
      <c r="P830" s="1604"/>
      <c r="Q830" s="1604"/>
      <c r="R830" s="1604"/>
      <c r="S830" s="1604"/>
      <c r="T830" s="1604"/>
      <c r="U830" s="1604"/>
      <c r="V830" s="1604"/>
      <c r="W830" s="1604"/>
      <c r="X830" s="1604"/>
      <c r="Y830" s="1604"/>
      <c r="Z830" s="1604"/>
      <c r="AA830" s="1604"/>
      <c r="AB830" s="1604"/>
      <c r="AC830" s="1494"/>
      <c r="AD830" s="1495"/>
      <c r="AE830" s="1495"/>
      <c r="AF830" s="1496"/>
      <c r="AG830" s="1494"/>
      <c r="AH830" s="1495"/>
      <c r="AI830" s="1495"/>
      <c r="AJ830" s="1496"/>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293</v>
      </c>
      <c r="D831" s="60"/>
      <c r="E831" s="60"/>
      <c r="F831" s="1647" t="s">
        <v>2729</v>
      </c>
      <c r="G831" s="1648"/>
      <c r="H831" s="1648"/>
      <c r="I831" s="1648"/>
      <c r="J831" s="1648"/>
      <c r="K831" s="1648"/>
      <c r="L831" s="1648"/>
      <c r="M831" s="1604"/>
      <c r="N831" s="1604"/>
      <c r="O831" s="1604"/>
      <c r="P831" s="1604"/>
      <c r="Q831" s="1604">
        <v>46</v>
      </c>
      <c r="R831" s="1604"/>
      <c r="S831" s="1604"/>
      <c r="T831" s="1604"/>
      <c r="U831" s="1604">
        <v>64</v>
      </c>
      <c r="V831" s="1604"/>
      <c r="W831" s="1604"/>
      <c r="X831" s="1604"/>
      <c r="Y831" s="1604">
        <v>82</v>
      </c>
      <c r="Z831" s="1604"/>
      <c r="AA831" s="1604"/>
      <c r="AB831" s="1604"/>
      <c r="AC831" s="1494"/>
      <c r="AD831" s="1495"/>
      <c r="AE831" s="1495"/>
      <c r="AF831" s="1496"/>
      <c r="AG831" s="1494"/>
      <c r="AH831" s="1495"/>
      <c r="AI831" s="1495"/>
      <c r="AJ831" s="1496"/>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11" t="s">
        <v>124</v>
      </c>
      <c r="D832" s="1412"/>
      <c r="E832" s="1412"/>
      <c r="F832" s="1412"/>
      <c r="G832" s="1412"/>
      <c r="H832" s="1412"/>
      <c r="I832" s="1412"/>
      <c r="J832" s="1412"/>
      <c r="K832" s="1412"/>
      <c r="L832" s="1414"/>
      <c r="M832" s="1654">
        <f>SUM(M825:P831)</f>
        <v>0</v>
      </c>
      <c r="N832" s="1654"/>
      <c r="O832" s="1654"/>
      <c r="P832" s="1654"/>
      <c r="Q832" s="1654">
        <f>SUM(Q825:T831)</f>
        <v>86</v>
      </c>
      <c r="R832" s="1654"/>
      <c r="S832" s="1654"/>
      <c r="T832" s="1654"/>
      <c r="U832" s="1654">
        <f>SUM(U825:X831)</f>
        <v>114</v>
      </c>
      <c r="V832" s="1654"/>
      <c r="W832" s="1654"/>
      <c r="X832" s="1654"/>
      <c r="Y832" s="1654">
        <f>SUM(Y825:AB831)</f>
        <v>146</v>
      </c>
      <c r="Z832" s="1654"/>
      <c r="AA832" s="1654"/>
      <c r="AB832" s="1654"/>
      <c r="AC832" s="1654">
        <f>SUM(AC825:AF831)</f>
        <v>0</v>
      </c>
      <c r="AD832" s="1654"/>
      <c r="AE832" s="1654"/>
      <c r="AF832" s="1654"/>
      <c r="AG832" s="1654">
        <f>SUM(AG825:AJ831)</f>
        <v>0</v>
      </c>
      <c r="AH832" s="1654"/>
      <c r="AI832" s="1654"/>
      <c r="AJ832" s="1654"/>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60" t="s">
        <v>2615</v>
      </c>
      <c r="D837" s="1661"/>
      <c r="E837" s="1661"/>
      <c r="F837" s="1661"/>
      <c r="G837" s="1661"/>
      <c r="H837" s="1661"/>
      <c r="I837" s="1661"/>
      <c r="J837" s="1661"/>
      <c r="K837" s="1661"/>
      <c r="L837" s="1661"/>
      <c r="M837" s="1661"/>
      <c r="N837" s="1661"/>
      <c r="O837" s="1661"/>
      <c r="P837" s="1661"/>
      <c r="Q837" s="1661"/>
      <c r="R837" s="1661"/>
      <c r="S837" s="1661"/>
      <c r="T837" s="1661"/>
      <c r="U837" s="1661"/>
      <c r="V837" s="1661"/>
      <c r="W837" s="1661"/>
      <c r="X837" s="1661"/>
      <c r="Y837" s="1661"/>
      <c r="Z837" s="1661"/>
      <c r="AA837" s="1661"/>
      <c r="AB837" s="1661"/>
      <c r="AC837" s="1661"/>
      <c r="AD837" s="1661"/>
      <c r="AE837" s="1661"/>
      <c r="AF837" s="1661"/>
      <c r="AG837" s="1661"/>
      <c r="AH837" s="1661"/>
      <c r="AI837" s="1661"/>
      <c r="AJ837" s="1662"/>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c r="BJ841" s="1668"/>
      <c r="BK841" s="1668"/>
      <c r="BL841" s="1668"/>
    </row>
    <row r="842" spans="1:64"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43">
        <v>2660</v>
      </c>
      <c r="X842" s="1643"/>
      <c r="Y842" s="1643"/>
      <c r="Z842" s="1643"/>
      <c r="AA842" s="1643"/>
      <c r="AB842" s="1643"/>
      <c r="AC842" s="1643"/>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355</v>
      </c>
      <c r="K843" s="5"/>
      <c r="L843" s="5"/>
      <c r="M843" s="5"/>
      <c r="N843" s="5"/>
      <c r="O843" s="5"/>
      <c r="P843" s="5"/>
      <c r="Q843" s="5"/>
      <c r="R843" s="5"/>
      <c r="S843" s="5"/>
      <c r="T843" s="5"/>
      <c r="U843" s="5"/>
      <c r="V843" s="46"/>
      <c r="W843" s="1643">
        <v>1000</v>
      </c>
      <c r="X843" s="1643"/>
      <c r="Y843" s="1643"/>
      <c r="Z843" s="1643"/>
      <c r="AA843" s="1643"/>
      <c r="AB843" s="1643"/>
      <c r="AC843" s="1643"/>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354</v>
      </c>
      <c r="K844" s="5"/>
      <c r="L844" s="5"/>
      <c r="M844" s="5"/>
      <c r="N844" s="5"/>
      <c r="O844" s="5"/>
      <c r="P844" s="5"/>
      <c r="Q844" s="5"/>
      <c r="R844" s="5"/>
      <c r="S844" s="5"/>
      <c r="T844" s="5"/>
      <c r="U844" s="5"/>
      <c r="V844" s="46"/>
      <c r="W844" s="1643">
        <v>14204</v>
      </c>
      <c r="X844" s="1643"/>
      <c r="Y844" s="1643"/>
      <c r="Z844" s="1643"/>
      <c r="AA844" s="1643"/>
      <c r="AB844" s="1643"/>
      <c r="AC844" s="1643"/>
      <c r="AZ844" s="30"/>
      <c r="BA844" s="30"/>
      <c r="BB844" s="14"/>
      <c r="BC844" s="14"/>
      <c r="BD844" s="14"/>
      <c r="BE844" s="14"/>
      <c r="BF844" s="14"/>
      <c r="BG844" s="14"/>
      <c r="BH844" s="14"/>
      <c r="BI844" s="14"/>
      <c r="BJ844" s="14"/>
      <c r="BK844" s="14"/>
      <c r="BL844" s="14"/>
    </row>
    <row r="845" spans="1:64" ht="13" customHeight="1">
      <c r="J845" s="45" t="s">
        <v>353</v>
      </c>
      <c r="K845" s="5"/>
      <c r="L845" s="5"/>
      <c r="M845" s="5"/>
      <c r="N845" s="5"/>
      <c r="O845" s="5"/>
      <c r="P845" s="5"/>
      <c r="Q845" s="5"/>
      <c r="R845" s="5"/>
      <c r="S845" s="5"/>
      <c r="T845" s="5"/>
      <c r="U845" s="5"/>
      <c r="V845" s="46"/>
      <c r="W845" s="1643">
        <v>21242</v>
      </c>
      <c r="X845" s="1643"/>
      <c r="Y845" s="1643"/>
      <c r="Z845" s="1643"/>
      <c r="AA845" s="1643"/>
      <c r="AB845" s="1643"/>
      <c r="AC845" s="1643"/>
      <c r="AZ845" s="30"/>
      <c r="BA845" s="30"/>
      <c r="BB845" s="14"/>
      <c r="BC845" s="14"/>
      <c r="BD845" s="14"/>
      <c r="BE845" s="14"/>
      <c r="BF845" s="14"/>
      <c r="BG845" s="14"/>
      <c r="BH845" s="14"/>
      <c r="BI845" s="14"/>
      <c r="BJ845" s="14"/>
      <c r="BK845" s="14"/>
      <c r="BL845" s="14"/>
    </row>
    <row r="846" spans="1:64" ht="13" customHeight="1">
      <c r="J846" s="45" t="s">
        <v>170</v>
      </c>
      <c r="K846" s="5"/>
      <c r="L846" s="5"/>
      <c r="M846" s="1647" t="s">
        <v>2730</v>
      </c>
      <c r="N846" s="1648"/>
      <c r="O846" s="1648"/>
      <c r="P846" s="1648"/>
      <c r="Q846" s="1648"/>
      <c r="R846" s="1648"/>
      <c r="S846" s="1648"/>
      <c r="T846" s="1648"/>
      <c r="U846" s="1648"/>
      <c r="V846" s="1649"/>
      <c r="W846" s="1643">
        <f>30316-5000</f>
        <v>25316</v>
      </c>
      <c r="X846" s="1643"/>
      <c r="Y846" s="1643"/>
      <c r="Z846" s="1643"/>
      <c r="AA846" s="1643"/>
      <c r="AB846" s="1643"/>
      <c r="AC846" s="1643"/>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342</v>
      </c>
      <c r="W847" s="1475">
        <f>SUM(W842:W846)</f>
        <v>64422</v>
      </c>
      <c r="X847" s="1476"/>
      <c r="Y847" s="1476"/>
      <c r="Z847" s="1476"/>
      <c r="AA847" s="1476"/>
      <c r="AB847" s="1476"/>
      <c r="AC847" s="1477"/>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39"/>
      <c r="BH848" s="1639"/>
      <c r="BI848" s="1639"/>
      <c r="BJ848" s="1639"/>
      <c r="BK848" s="1639"/>
      <c r="BL848" s="1639"/>
    </row>
    <row r="849" spans="3:55" ht="13" customHeight="1">
      <c r="C849" s="2" t="s">
        <v>344</v>
      </c>
      <c r="J849" s="1411" t="s">
        <v>345</v>
      </c>
      <c r="K849" s="1412"/>
      <c r="L849" s="1412"/>
      <c r="M849" s="1412"/>
      <c r="N849" s="1412"/>
      <c r="O849" s="1412"/>
      <c r="P849" s="1412"/>
      <c r="Q849" s="1412"/>
      <c r="R849" s="1412"/>
      <c r="S849" s="1412"/>
      <c r="T849" s="1412"/>
      <c r="U849" s="1412"/>
      <c r="V849" s="1414"/>
      <c r="W849" s="1478">
        <v>64800</v>
      </c>
      <c r="X849" s="1341"/>
      <c r="Y849" s="1341"/>
      <c r="Z849" s="1341"/>
      <c r="AA849" s="1341"/>
      <c r="AB849" s="1341"/>
      <c r="AC849" s="1342"/>
      <c r="AD849" s="533"/>
      <c r="AZ849" s="30"/>
      <c r="BA849" s="30"/>
      <c r="BB849" s="14"/>
      <c r="BC849" s="14"/>
    </row>
    <row r="850" spans="3:55" ht="13" customHeight="1">
      <c r="AD850" s="533"/>
      <c r="AZ850" s="30"/>
      <c r="BA850" s="30"/>
      <c r="BB850" s="14"/>
      <c r="BC850" s="14"/>
    </row>
    <row r="851" spans="3:55" ht="13" customHeight="1">
      <c r="C851" s="2" t="s">
        <v>562</v>
      </c>
      <c r="J851" s="45" t="s">
        <v>352</v>
      </c>
      <c r="K851" s="5"/>
      <c r="L851" s="5"/>
      <c r="M851" s="5"/>
      <c r="N851" s="5"/>
      <c r="O851" s="5"/>
      <c r="P851" s="5"/>
      <c r="Q851" s="5"/>
      <c r="R851" s="5"/>
      <c r="S851" s="5"/>
      <c r="T851" s="5"/>
      <c r="U851" s="5"/>
      <c r="V851" s="46"/>
      <c r="W851" s="1658"/>
      <c r="X851" s="1658"/>
      <c r="Y851" s="1658"/>
      <c r="Z851" s="1658"/>
      <c r="AA851" s="1658"/>
      <c r="AB851" s="1658"/>
      <c r="AC851" s="1658"/>
      <c r="AZ851" s="1625"/>
      <c r="BA851" s="1625"/>
      <c r="BB851" s="14"/>
      <c r="BC851" s="14"/>
    </row>
    <row r="852" spans="3:55" ht="13" customHeight="1">
      <c r="J852" s="45" t="s">
        <v>351</v>
      </c>
      <c r="K852" s="5"/>
      <c r="L852" s="5"/>
      <c r="M852" s="5"/>
      <c r="N852" s="5"/>
      <c r="O852" s="5"/>
      <c r="P852" s="5"/>
      <c r="Q852" s="5"/>
      <c r="R852" s="5"/>
      <c r="S852" s="5"/>
      <c r="T852" s="5"/>
      <c r="U852" s="5"/>
      <c r="V852" s="46"/>
      <c r="W852" s="1658"/>
      <c r="X852" s="1658"/>
      <c r="Y852" s="1658"/>
      <c r="Z852" s="1658"/>
      <c r="AA852" s="1658"/>
      <c r="AB852" s="1658"/>
      <c r="AC852" s="1658"/>
      <c r="AZ852" s="30"/>
      <c r="BA852" s="30"/>
      <c r="BB852" s="14"/>
      <c r="BC852" s="14"/>
    </row>
    <row r="853" spans="3:55" ht="13" customHeight="1">
      <c r="J853" s="45" t="s">
        <v>460</v>
      </c>
      <c r="K853" s="5"/>
      <c r="L853" s="5"/>
      <c r="M853" s="5"/>
      <c r="N853" s="5"/>
      <c r="O853" s="5"/>
      <c r="P853" s="5"/>
      <c r="Q853" s="5"/>
      <c r="R853" s="5"/>
      <c r="S853" s="5"/>
      <c r="T853" s="5"/>
      <c r="U853" s="5"/>
      <c r="V853" s="46"/>
      <c r="W853" s="1658">
        <f>53135-2800+224</f>
        <v>50559</v>
      </c>
      <c r="X853" s="1658"/>
      <c r="Y853" s="1658"/>
      <c r="Z853" s="1658"/>
      <c r="AA853" s="1658"/>
      <c r="AB853" s="1658"/>
      <c r="AC853" s="1658"/>
      <c r="AZ853" s="30"/>
      <c r="BA853" s="30"/>
      <c r="BB853" s="14"/>
      <c r="BC853" s="14"/>
    </row>
    <row r="854" spans="3:55" ht="13" customHeight="1">
      <c r="J854" s="62" t="s">
        <v>621</v>
      </c>
      <c r="K854" s="5"/>
      <c r="L854" s="5"/>
      <c r="M854" s="5"/>
      <c r="N854" s="5"/>
      <c r="O854" s="5"/>
      <c r="P854" s="5"/>
      <c r="Q854" s="5"/>
      <c r="R854" s="5"/>
      <c r="S854" s="5"/>
      <c r="T854" s="5"/>
      <c r="U854" s="5"/>
      <c r="V854" s="46"/>
      <c r="W854" s="1658">
        <f>65684-2800</f>
        <v>62884</v>
      </c>
      <c r="X854" s="1658"/>
      <c r="Y854" s="1658"/>
      <c r="Z854" s="1658"/>
      <c r="AA854" s="1658"/>
      <c r="AB854" s="1658"/>
      <c r="AC854" s="1658"/>
      <c r="AZ854" s="34"/>
      <c r="BA854" s="34"/>
      <c r="BB854" s="34"/>
      <c r="BC854" s="34"/>
    </row>
    <row r="855" spans="3:55" ht="13" customHeight="1">
      <c r="J855" s="63"/>
      <c r="K855" s="48"/>
      <c r="L855" s="48"/>
      <c r="M855" s="48"/>
      <c r="N855" s="48"/>
      <c r="O855" s="48"/>
      <c r="P855" s="48"/>
      <c r="Q855" s="48"/>
      <c r="R855" s="48"/>
      <c r="S855" s="48"/>
      <c r="T855" s="48"/>
      <c r="U855" s="48"/>
      <c r="V855" s="54" t="s">
        <v>272</v>
      </c>
      <c r="W855" s="1659">
        <f>SUM(W851:W854)</f>
        <v>113443</v>
      </c>
      <c r="X855" s="1659"/>
      <c r="Y855" s="1659"/>
      <c r="Z855" s="1659"/>
      <c r="AA855" s="1659"/>
      <c r="AB855" s="1659"/>
      <c r="AC855" s="1659"/>
      <c r="AZ855" s="34"/>
      <c r="BA855" s="34"/>
      <c r="BB855" s="34"/>
      <c r="BC855" s="34"/>
    </row>
    <row r="856" spans="3:55" ht="13" customHeight="1">
      <c r="AZ856" s="34"/>
      <c r="BA856" s="34"/>
      <c r="BB856" s="34"/>
      <c r="BC856" s="34"/>
    </row>
    <row r="857" spans="3:55" ht="13" customHeight="1">
      <c r="C857" s="2" t="s">
        <v>346</v>
      </c>
      <c r="J857" s="45" t="s">
        <v>620</v>
      </c>
      <c r="K857" s="5"/>
      <c r="L857" s="5"/>
      <c r="M857" s="5"/>
      <c r="N857" s="5"/>
      <c r="O857" s="5"/>
      <c r="P857" s="5"/>
      <c r="Q857" s="5"/>
      <c r="R857" s="5"/>
      <c r="S857" s="5"/>
      <c r="T857" s="5"/>
      <c r="U857" s="5"/>
      <c r="V857" s="46"/>
      <c r="W857" s="1655">
        <v>97288</v>
      </c>
      <c r="X857" s="1656"/>
      <c r="Y857" s="1656"/>
      <c r="Z857" s="1656"/>
      <c r="AA857" s="1656"/>
      <c r="AB857" s="1656"/>
      <c r="AC857" s="1657"/>
      <c r="AD857" s="528"/>
      <c r="AZ857" s="34"/>
      <c r="BA857" s="34"/>
      <c r="BB857" s="34"/>
      <c r="BC857" s="34"/>
    </row>
    <row r="858" spans="3:55" ht="13" customHeight="1">
      <c r="C858" s="2" t="s">
        <v>347</v>
      </c>
      <c r="J858" s="121" t="s">
        <v>1656</v>
      </c>
      <c r="K858" s="5"/>
      <c r="L858" s="5"/>
      <c r="M858" s="5"/>
      <c r="N858" s="5"/>
      <c r="O858" s="5"/>
      <c r="P858" s="5"/>
      <c r="Q858" s="5"/>
      <c r="R858" s="5"/>
      <c r="S858" s="5"/>
      <c r="T858" s="1641">
        <v>2</v>
      </c>
      <c r="U858" s="1603"/>
      <c r="V858" s="1642"/>
      <c r="W858" s="874"/>
      <c r="X858" s="875"/>
      <c r="Y858" s="875"/>
      <c r="Z858" s="875"/>
      <c r="AA858" s="875"/>
      <c r="AB858" s="875"/>
      <c r="AC858" s="876"/>
      <c r="AD858" s="528"/>
      <c r="AZ858" s="34"/>
      <c r="BA858" s="34"/>
      <c r="BB858" s="34"/>
      <c r="BC858" s="34"/>
    </row>
    <row r="859" spans="3:55" ht="13" customHeight="1">
      <c r="C859" s="2"/>
      <c r="J859" s="45" t="s">
        <v>619</v>
      </c>
      <c r="K859" s="5"/>
      <c r="L859" s="5"/>
      <c r="M859" s="5"/>
      <c r="N859" s="5"/>
      <c r="O859" s="5"/>
      <c r="P859" s="5"/>
      <c r="Q859" s="5"/>
      <c r="R859" s="5"/>
      <c r="S859" s="5"/>
      <c r="T859" s="5"/>
      <c r="U859" s="5"/>
      <c r="V859" s="46"/>
      <c r="W859" s="1655">
        <v>87892</v>
      </c>
      <c r="X859" s="1656"/>
      <c r="Y859" s="1656"/>
      <c r="Z859" s="1656"/>
      <c r="AA859" s="1656"/>
      <c r="AB859" s="1656"/>
      <c r="AC859" s="1657"/>
      <c r="AD859" s="533"/>
      <c r="AZ859" s="34"/>
      <c r="BA859" s="34"/>
      <c r="BB859" s="34"/>
      <c r="BC859" s="34"/>
    </row>
    <row r="860" spans="3:55" ht="13" customHeight="1">
      <c r="C860" s="2"/>
      <c r="J860" s="121" t="s">
        <v>1657</v>
      </c>
      <c r="K860" s="5"/>
      <c r="L860" s="5"/>
      <c r="M860" s="5"/>
      <c r="N860" s="5"/>
      <c r="O860" s="5"/>
      <c r="P860" s="5"/>
      <c r="Q860" s="5"/>
      <c r="R860" s="5"/>
      <c r="S860" s="5"/>
      <c r="T860" s="1641">
        <v>1</v>
      </c>
      <c r="U860" s="1603"/>
      <c r="V860" s="1642"/>
      <c r="W860" s="874"/>
      <c r="X860" s="875"/>
      <c r="Y860" s="875"/>
      <c r="Z860" s="875"/>
      <c r="AA860" s="875"/>
      <c r="AB860" s="875"/>
      <c r="AC860" s="876"/>
      <c r="AD860" s="533"/>
      <c r="AZ860" s="34"/>
      <c r="BA860" s="34"/>
      <c r="BB860" s="34"/>
      <c r="BC860" s="34"/>
    </row>
    <row r="861" spans="3:55" ht="13" customHeight="1">
      <c r="J861" s="45" t="s">
        <v>170</v>
      </c>
      <c r="K861" s="5"/>
      <c r="L861" s="5"/>
      <c r="M861" s="1647" t="s">
        <v>2731</v>
      </c>
      <c r="N861" s="1648"/>
      <c r="O861" s="1648"/>
      <c r="P861" s="1648"/>
      <c r="Q861" s="1648"/>
      <c r="R861" s="1648"/>
      <c r="S861" s="1648"/>
      <c r="T861" s="1648"/>
      <c r="U861" s="1648"/>
      <c r="V861" s="1649"/>
      <c r="W861" s="1655">
        <v>41617</v>
      </c>
      <c r="X861" s="1656"/>
      <c r="Y861" s="1656"/>
      <c r="Z861" s="1656"/>
      <c r="AA861" s="1656"/>
      <c r="AB861" s="1656"/>
      <c r="AC861" s="1657"/>
      <c r="AD861" s="528"/>
      <c r="AU861" s="14"/>
      <c r="AZ861" s="34"/>
      <c r="BA861" s="34"/>
      <c r="BB861" s="34"/>
      <c r="BC861" s="34"/>
    </row>
    <row r="862" spans="3:55" ht="13" customHeight="1">
      <c r="J862" s="45"/>
      <c r="K862" s="5"/>
      <c r="L862" s="5"/>
      <c r="M862" s="5"/>
      <c r="N862" s="5"/>
      <c r="O862" s="5"/>
      <c r="P862" s="5"/>
      <c r="Q862" s="5"/>
      <c r="R862" s="5"/>
      <c r="S862" s="5"/>
      <c r="T862" s="5"/>
      <c r="U862" s="5"/>
      <c r="V862" s="54" t="s">
        <v>273</v>
      </c>
      <c r="W862" s="1644">
        <f>SUM(W857:W861)</f>
        <v>226797</v>
      </c>
      <c r="X862" s="1645"/>
      <c r="Y862" s="1645"/>
      <c r="Z862" s="1645"/>
      <c r="AA862" s="1645"/>
      <c r="AB862" s="1645"/>
      <c r="AC862" s="1646"/>
      <c r="AD862" s="533"/>
      <c r="AU862" s="14"/>
      <c r="AZ862" s="34"/>
      <c r="BA862" s="34"/>
      <c r="BB862" s="34"/>
      <c r="BC862" s="34"/>
    </row>
    <row r="863" spans="3:55" ht="13" customHeight="1">
      <c r="J863" s="45"/>
      <c r="K863" s="5"/>
      <c r="L863" s="5"/>
      <c r="M863" s="5"/>
      <c r="N863" s="5"/>
      <c r="O863" s="5"/>
      <c r="P863" s="5"/>
      <c r="Q863" s="5"/>
      <c r="R863" s="5"/>
      <c r="S863" s="5"/>
      <c r="T863" s="5"/>
      <c r="U863" s="5"/>
      <c r="V863" s="54" t="s">
        <v>274</v>
      </c>
      <c r="W863" s="1655"/>
      <c r="X863" s="1656"/>
      <c r="Y863" s="1656"/>
      <c r="Z863" s="1656"/>
      <c r="AA863" s="1656"/>
      <c r="AB863" s="1656"/>
      <c r="AC863" s="1657"/>
      <c r="AU863" s="14"/>
      <c r="AZ863" s="34"/>
      <c r="BA863" s="34"/>
      <c r="BB863" s="34"/>
      <c r="BC863" s="34"/>
    </row>
    <row r="864" spans="3:55" ht="13" customHeight="1">
      <c r="J864" s="512"/>
      <c r="AU864" s="14"/>
      <c r="AZ864" s="34"/>
      <c r="BA864" s="34"/>
      <c r="BB864" s="34"/>
      <c r="BC864" s="34"/>
    </row>
    <row r="865" spans="3:55" ht="13" customHeight="1">
      <c r="C865" s="2" t="s">
        <v>390</v>
      </c>
      <c r="J865" s="45" t="s">
        <v>618</v>
      </c>
      <c r="K865" s="5"/>
      <c r="L865" s="5"/>
      <c r="M865" s="5"/>
      <c r="N865" s="5"/>
      <c r="O865" s="5"/>
      <c r="P865" s="5"/>
      <c r="Q865" s="5"/>
      <c r="R865" s="5"/>
      <c r="S865" s="5"/>
      <c r="T865" s="5"/>
      <c r="U865" s="5"/>
      <c r="V865" s="46"/>
      <c r="W865" s="1643">
        <f>1200</f>
        <v>1200</v>
      </c>
      <c r="X865" s="1643"/>
      <c r="Y865" s="1643"/>
      <c r="Z865" s="1643"/>
      <c r="AA865" s="1643"/>
      <c r="AB865" s="1643"/>
      <c r="AC865" s="1643"/>
      <c r="AU865" s="14"/>
      <c r="AZ865" s="34"/>
      <c r="BA865" s="34"/>
      <c r="BB865" s="34"/>
      <c r="BC865" s="34"/>
    </row>
    <row r="866" spans="3:55" ht="13" customHeight="1">
      <c r="J866" s="45" t="s">
        <v>523</v>
      </c>
      <c r="K866" s="5"/>
      <c r="L866" s="5"/>
      <c r="M866" s="5"/>
      <c r="N866" s="5"/>
      <c r="O866" s="5"/>
      <c r="P866" s="5"/>
      <c r="Q866" s="5"/>
      <c r="R866" s="5"/>
      <c r="S866" s="5"/>
      <c r="T866" s="5"/>
      <c r="U866" s="5"/>
      <c r="V866" s="46"/>
      <c r="W866" s="1643">
        <v>17300</v>
      </c>
      <c r="X866" s="1643"/>
      <c r="Y866" s="1643"/>
      <c r="Z866" s="1643"/>
      <c r="AA866" s="1643"/>
      <c r="AB866" s="1643"/>
      <c r="AC866" s="1643"/>
      <c r="AU866" s="4"/>
      <c r="AZ866" s="34"/>
      <c r="BA866" s="34"/>
      <c r="BB866" s="34"/>
      <c r="BC866" s="34"/>
    </row>
    <row r="867" spans="3:55" ht="13" customHeight="1">
      <c r="J867" s="45" t="s">
        <v>522</v>
      </c>
      <c r="K867" s="5"/>
      <c r="L867" s="5"/>
      <c r="M867" s="5"/>
      <c r="N867" s="5"/>
      <c r="O867" s="5"/>
      <c r="P867" s="5"/>
      <c r="Q867" s="5"/>
      <c r="R867" s="5"/>
      <c r="S867" s="5"/>
      <c r="T867" s="5"/>
      <c r="U867" s="5"/>
      <c r="V867" s="46"/>
      <c r="W867" s="1643">
        <v>28598</v>
      </c>
      <c r="X867" s="1643"/>
      <c r="Y867" s="1643"/>
      <c r="Z867" s="1643"/>
      <c r="AA867" s="1643"/>
      <c r="AB867" s="1643"/>
      <c r="AC867" s="1643"/>
      <c r="AU867" s="4"/>
      <c r="AZ867" s="34"/>
      <c r="BA867" s="34"/>
      <c r="BB867" s="34"/>
      <c r="BC867" s="34"/>
    </row>
    <row r="868" spans="3:55" ht="13" customHeight="1">
      <c r="J868" s="45" t="s">
        <v>521</v>
      </c>
      <c r="K868" s="5"/>
      <c r="L868" s="5"/>
      <c r="M868" s="5"/>
      <c r="N868" s="5"/>
      <c r="O868" s="5"/>
      <c r="P868" s="5"/>
      <c r="Q868" s="5"/>
      <c r="R868" s="5"/>
      <c r="S868" s="5"/>
      <c r="T868" s="5"/>
      <c r="U868" s="5"/>
      <c r="V868" s="46"/>
      <c r="W868" s="1643">
        <v>4200</v>
      </c>
      <c r="X868" s="1643"/>
      <c r="Y868" s="1643"/>
      <c r="Z868" s="1643"/>
      <c r="AA868" s="1643"/>
      <c r="AB868" s="1643"/>
      <c r="AC868" s="1643"/>
      <c r="AU868" s="4"/>
      <c r="AZ868" s="34"/>
      <c r="BA868" s="34"/>
      <c r="BB868" s="34"/>
      <c r="BC868" s="34"/>
    </row>
    <row r="869" spans="3:55" ht="13" customHeight="1">
      <c r="J869" s="45" t="s">
        <v>520</v>
      </c>
      <c r="K869" s="5"/>
      <c r="L869" s="5"/>
      <c r="M869" s="5"/>
      <c r="N869" s="5"/>
      <c r="O869" s="5"/>
      <c r="P869" s="5"/>
      <c r="Q869" s="5"/>
      <c r="R869" s="5"/>
      <c r="S869" s="5"/>
      <c r="T869" s="5"/>
      <c r="U869" s="5"/>
      <c r="V869" s="46"/>
      <c r="W869" s="1643">
        <v>10200</v>
      </c>
      <c r="X869" s="1643"/>
      <c r="Y869" s="1643"/>
      <c r="Z869" s="1643"/>
      <c r="AA869" s="1643"/>
      <c r="AB869" s="1643"/>
      <c r="AC869" s="1643"/>
      <c r="AU869" s="4"/>
      <c r="AZ869" s="34"/>
      <c r="BA869" s="34"/>
      <c r="BB869" s="34"/>
      <c r="BC869" s="34"/>
    </row>
    <row r="870" spans="3:55" ht="13" customHeight="1">
      <c r="J870" s="45" t="s">
        <v>519</v>
      </c>
      <c r="K870" s="5"/>
      <c r="L870" s="5"/>
      <c r="M870" s="5"/>
      <c r="N870" s="5"/>
      <c r="O870" s="5"/>
      <c r="P870" s="5"/>
      <c r="Q870" s="5"/>
      <c r="R870" s="5"/>
      <c r="S870" s="5"/>
      <c r="T870" s="5"/>
      <c r="U870" s="5"/>
      <c r="V870" s="46"/>
      <c r="W870" s="1643">
        <v>20150</v>
      </c>
      <c r="X870" s="1643"/>
      <c r="Y870" s="1643"/>
      <c r="Z870" s="1643"/>
      <c r="AA870" s="1643"/>
      <c r="AB870" s="1643"/>
      <c r="AC870" s="1643"/>
      <c r="AU870" s="4"/>
      <c r="AZ870" s="34"/>
      <c r="BA870" s="34"/>
      <c r="BB870" s="34"/>
      <c r="BC870" s="34"/>
    </row>
    <row r="871" spans="3:55" ht="13" customHeight="1">
      <c r="J871" s="45" t="s">
        <v>170</v>
      </c>
      <c r="K871" s="5"/>
      <c r="L871" s="5"/>
      <c r="M871" s="1647" t="s">
        <v>2732</v>
      </c>
      <c r="N871" s="1648"/>
      <c r="O871" s="1648"/>
      <c r="P871" s="1648"/>
      <c r="Q871" s="1648"/>
      <c r="R871" s="1648"/>
      <c r="S871" s="1648"/>
      <c r="T871" s="1648"/>
      <c r="U871" s="1648"/>
      <c r="V871" s="1649"/>
      <c r="W871" s="1643"/>
      <c r="X871" s="1643"/>
      <c r="Y871" s="1643"/>
      <c r="Z871" s="1643"/>
      <c r="AA871" s="1643"/>
      <c r="AB871" s="1643"/>
      <c r="AC871" s="1643"/>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275</v>
      </c>
      <c r="W872" s="1605">
        <f>SUM(W865:W871)</f>
        <v>81648</v>
      </c>
      <c r="X872" s="1605"/>
      <c r="Y872" s="1605"/>
      <c r="Z872" s="1605"/>
      <c r="AA872" s="1605"/>
      <c r="AB872" s="1605"/>
      <c r="AC872" s="1605"/>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1244</v>
      </c>
      <c r="J874" s="45" t="s">
        <v>170</v>
      </c>
      <c r="K874" s="5"/>
      <c r="L874" s="5"/>
      <c r="M874" s="1647" t="s">
        <v>334</v>
      </c>
      <c r="N874" s="1648"/>
      <c r="O874" s="1648"/>
      <c r="P874" s="1648"/>
      <c r="Q874" s="1648"/>
      <c r="R874" s="1648"/>
      <c r="S874" s="1648"/>
      <c r="T874" s="1648"/>
      <c r="U874" s="1648"/>
      <c r="V874" s="1649"/>
      <c r="W874" s="1478"/>
      <c r="X874" s="1341"/>
      <c r="Y874" s="1341"/>
      <c r="Z874" s="1341"/>
      <c r="AA874" s="1341"/>
      <c r="AB874" s="1341"/>
      <c r="AC874" s="1342"/>
      <c r="AD874" s="533"/>
      <c r="AV874" s="14"/>
      <c r="AW874" s="14"/>
      <c r="AX874" s="14"/>
      <c r="AY874" s="14"/>
      <c r="AZ874" s="34"/>
      <c r="BA874" s="34"/>
      <c r="BB874" s="34"/>
      <c r="BC874" s="34"/>
    </row>
    <row r="875" spans="3:55" ht="13" customHeight="1">
      <c r="C875" s="2" t="s">
        <v>1245</v>
      </c>
      <c r="J875" s="45" t="s">
        <v>170</v>
      </c>
      <c r="K875" s="5"/>
      <c r="L875" s="5"/>
      <c r="M875" s="1647" t="s">
        <v>334</v>
      </c>
      <c r="N875" s="1648"/>
      <c r="O875" s="1648"/>
      <c r="P875" s="1648"/>
      <c r="Q875" s="1648"/>
      <c r="R875" s="1648"/>
      <c r="S875" s="1648"/>
      <c r="T875" s="1648"/>
      <c r="U875" s="1648"/>
      <c r="V875" s="1649"/>
      <c r="W875" s="1478"/>
      <c r="X875" s="1341"/>
      <c r="Y875" s="1341"/>
      <c r="Z875" s="1341"/>
      <c r="AA875" s="1341"/>
      <c r="AB875" s="1341"/>
      <c r="AC875" s="1342"/>
      <c r="AD875" s="533"/>
      <c r="AV875" s="14"/>
      <c r="AW875" s="14"/>
      <c r="AX875" s="14"/>
      <c r="AY875" s="14"/>
      <c r="AZ875" s="34"/>
      <c r="BA875" s="34"/>
      <c r="BB875" s="34"/>
      <c r="BC875" s="34"/>
    </row>
    <row r="876" spans="3:55" ht="13" customHeight="1">
      <c r="J876" s="45" t="s">
        <v>170</v>
      </c>
      <c r="K876" s="5"/>
      <c r="L876" s="5"/>
      <c r="M876" s="1647" t="s">
        <v>334</v>
      </c>
      <c r="N876" s="1648"/>
      <c r="O876" s="1648"/>
      <c r="P876" s="1648"/>
      <c r="Q876" s="1648"/>
      <c r="R876" s="1648"/>
      <c r="S876" s="1648"/>
      <c r="T876" s="1648"/>
      <c r="U876" s="1648"/>
      <c r="V876" s="1649"/>
      <c r="W876" s="1478"/>
      <c r="X876" s="1341"/>
      <c r="Y876" s="1341"/>
      <c r="Z876" s="1341"/>
      <c r="AA876" s="1341"/>
      <c r="AB876" s="1341"/>
      <c r="AC876" s="1342"/>
      <c r="AL876" s="14"/>
      <c r="AM876" s="14"/>
      <c r="AN876" s="14"/>
      <c r="AO876" s="14"/>
      <c r="AP876" s="14"/>
      <c r="AQ876" s="14"/>
      <c r="AR876" s="14"/>
      <c r="AS876" s="14"/>
      <c r="AT876" s="14"/>
      <c r="AV876" s="4"/>
      <c r="AW876" s="4"/>
      <c r="AX876" s="4"/>
      <c r="AY876" s="4"/>
      <c r="AZ876" s="34"/>
      <c r="BA876" s="34"/>
      <c r="BB876" s="34"/>
      <c r="BC876" s="34"/>
    </row>
    <row r="877" spans="3:55" ht="13" customHeight="1">
      <c r="J877" s="45" t="s">
        <v>170</v>
      </c>
      <c r="K877" s="5"/>
      <c r="L877" s="5"/>
      <c r="M877" s="1647" t="s">
        <v>334</v>
      </c>
      <c r="N877" s="1648"/>
      <c r="O877" s="1648"/>
      <c r="P877" s="1648"/>
      <c r="Q877" s="1648"/>
      <c r="R877" s="1648"/>
      <c r="S877" s="1648"/>
      <c r="T877" s="1648"/>
      <c r="U877" s="1648"/>
      <c r="V877" s="1649"/>
      <c r="W877" s="1478"/>
      <c r="X877" s="1341"/>
      <c r="Y877" s="1341"/>
      <c r="Z877" s="1341"/>
      <c r="AA877" s="1341"/>
      <c r="AB877" s="1341"/>
      <c r="AC877" s="1342"/>
      <c r="AL877" s="14"/>
      <c r="AM877" s="14"/>
      <c r="AN877" s="14"/>
      <c r="AO877" s="14"/>
      <c r="AP877" s="14"/>
      <c r="AQ877" s="14"/>
      <c r="AR877" s="14"/>
      <c r="AS877" s="14"/>
      <c r="AT877" s="14"/>
      <c r="AV877" s="4"/>
      <c r="AW877" s="4"/>
      <c r="AX877" s="4"/>
      <c r="AY877" s="4"/>
      <c r="AZ877" s="34"/>
      <c r="BA877" s="34"/>
      <c r="BB877" s="34"/>
      <c r="BC877" s="34"/>
    </row>
    <row r="878" spans="3:55" ht="13" customHeight="1">
      <c r="J878" s="45" t="s">
        <v>170</v>
      </c>
      <c r="K878" s="5"/>
      <c r="L878" s="5"/>
      <c r="M878" s="1647" t="s">
        <v>334</v>
      </c>
      <c r="N878" s="1648"/>
      <c r="O878" s="1648"/>
      <c r="P878" s="1648"/>
      <c r="Q878" s="1648"/>
      <c r="R878" s="1648"/>
      <c r="S878" s="1648"/>
      <c r="T878" s="1648"/>
      <c r="U878" s="1648"/>
      <c r="V878" s="1649"/>
      <c r="W878" s="1478"/>
      <c r="X878" s="1341"/>
      <c r="Y878" s="1341"/>
      <c r="Z878" s="1341"/>
      <c r="AA878" s="1341"/>
      <c r="AB878" s="1341"/>
      <c r="AC878" s="1342"/>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276</v>
      </c>
      <c r="W879" s="1475">
        <f>SUM(W874:W878)</f>
        <v>0</v>
      </c>
      <c r="X879" s="1476"/>
      <c r="Y879" s="1476"/>
      <c r="Z879" s="1476"/>
      <c r="AA879" s="1476"/>
      <c r="AB879" s="1476"/>
      <c r="AC879" s="1477"/>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6">
        <f>W847+W855+W862+W863+W872+W879+W849</f>
        <v>551110</v>
      </c>
      <c r="AD883" s="1476"/>
      <c r="AE883" s="1476"/>
      <c r="AF883" s="1476"/>
      <c r="AG883" s="1476"/>
      <c r="AH883" s="1477"/>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50">
        <f>O797+O777+G753</f>
        <v>90</v>
      </c>
      <c r="AD884" s="1650"/>
      <c r="AE884" s="1650"/>
      <c r="AF884" s="1650"/>
      <c r="AG884" s="1650"/>
      <c r="AH884" s="1651"/>
      <c r="AL884" s="4"/>
      <c r="AM884" s="4"/>
      <c r="AN884" s="4"/>
      <c r="AO884" s="4"/>
      <c r="AP884" s="4"/>
      <c r="AQ884" s="4"/>
      <c r="AR884" s="4"/>
      <c r="AS884" s="4"/>
      <c r="AT884" s="4"/>
      <c r="AZ884" s="34"/>
      <c r="BA884" s="34"/>
      <c r="BB884" s="34"/>
      <c r="BC884" s="34"/>
    </row>
    <row r="885" spans="3:55" ht="13" customHeight="1">
      <c r="C885" s="41"/>
      <c r="D885" s="42"/>
      <c r="E885" s="1714" t="s">
        <v>32</v>
      </c>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5"/>
      <c r="AC885" s="1605">
        <f>IF(ISERROR((ROUNDDOWN(AC883/AC884,0))),0,(ROUNDDOWN(AC883/AC884,0)))</f>
        <v>6123</v>
      </c>
      <c r="AD885" s="1605"/>
      <c r="AE885" s="1605"/>
      <c r="AF885" s="1605"/>
      <c r="AG885" s="1605"/>
      <c r="AH885" s="1605"/>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2">
        <v>434986</v>
      </c>
      <c r="AD886" s="1653"/>
      <c r="AE886" s="1653"/>
      <c r="AF886" s="1653"/>
      <c r="AG886" s="1653"/>
      <c r="AH886" s="1653"/>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42"/>
      <c r="AD887" s="1643"/>
      <c r="AE887" s="1643"/>
      <c r="AF887" s="1643"/>
      <c r="AG887" s="1643"/>
      <c r="AH887" s="1643"/>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41">
        <v>25000</v>
      </c>
      <c r="AD888" s="1341"/>
      <c r="AE888" s="1341"/>
      <c r="AF888" s="1341"/>
      <c r="AG888" s="1341"/>
      <c r="AH888" s="1342"/>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1">
        <v>22500</v>
      </c>
      <c r="AD889" s="1341"/>
      <c r="AE889" s="1341"/>
      <c r="AF889" s="1341"/>
      <c r="AG889" s="1341"/>
      <c r="AH889" s="1342"/>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4">
        <v>21188</v>
      </c>
      <c r="AD890" s="1495"/>
      <c r="AE890" s="1495"/>
      <c r="AF890" s="1495"/>
      <c r="AG890" s="1495"/>
      <c r="AH890" s="1496"/>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1">
        <v>6750</v>
      </c>
      <c r="AD891" s="1341"/>
      <c r="AE891" s="1341"/>
      <c r="AF891" s="1341"/>
      <c r="AG891" s="1341"/>
      <c r="AH891" s="1342"/>
      <c r="AZ891" s="34"/>
      <c r="BA891" s="34"/>
      <c r="BB891" s="34"/>
      <c r="BC891" s="34"/>
    </row>
    <row r="892" spans="3:55" ht="13" hidden="1" customHeight="1">
      <c r="C892" s="1411" t="s">
        <v>2235</v>
      </c>
      <c r="D892" s="1412"/>
      <c r="E892" s="1412"/>
      <c r="F892" s="1412"/>
      <c r="G892" s="1412"/>
      <c r="H892" s="1412"/>
      <c r="I892" s="1412"/>
      <c r="J892" s="1412"/>
      <c r="K892" s="1412"/>
      <c r="L892" s="1412"/>
      <c r="M892" s="1412"/>
      <c r="N892" s="1412"/>
      <c r="O892" s="1412"/>
      <c r="P892" s="1412"/>
      <c r="Q892" s="1412"/>
      <c r="R892" s="1412"/>
      <c r="S892" s="1412"/>
      <c r="T892" s="1412"/>
      <c r="U892" s="1412"/>
      <c r="V892" s="1412"/>
      <c r="W892" s="1412"/>
      <c r="X892" s="1412"/>
      <c r="Y892" s="1412"/>
      <c r="Z892" s="1412"/>
      <c r="AA892" s="1412"/>
      <c r="AB892" s="1414"/>
      <c r="AC892" s="1341"/>
      <c r="AD892" s="1341"/>
      <c r="AE892" s="1341"/>
      <c r="AF892" s="1341"/>
      <c r="AG892" s="1341"/>
      <c r="AH892" s="1342"/>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41">
        <v>0</v>
      </c>
      <c r="AD893" s="1341"/>
      <c r="AE893" s="1341"/>
      <c r="AF893" s="1341"/>
      <c r="AG893" s="1341"/>
      <c r="AH893" s="1342"/>
      <c r="AZ893" s="34"/>
      <c r="BA893" s="34"/>
      <c r="BB893" s="34"/>
      <c r="BC893" s="34"/>
    </row>
    <row r="894" spans="3:55" ht="13" customHeight="1">
      <c r="C894" s="1671" t="s">
        <v>957</v>
      </c>
      <c r="D894" s="1672"/>
      <c r="E894" s="1672"/>
      <c r="F894" s="1672"/>
      <c r="G894" s="1672"/>
      <c r="H894" s="1672"/>
      <c r="I894" s="1672"/>
      <c r="J894" s="1672"/>
      <c r="K894" s="1672"/>
      <c r="L894" s="1672"/>
      <c r="M894" s="1672"/>
      <c r="N894" s="1672"/>
      <c r="O894" s="1672"/>
      <c r="P894" s="1672"/>
      <c r="Q894" s="1672"/>
      <c r="R894" s="1672"/>
      <c r="S894" s="1672"/>
      <c r="T894" s="1672"/>
      <c r="U894" s="1672"/>
      <c r="V894" s="1672"/>
      <c r="W894" s="1672"/>
      <c r="X894" s="1672"/>
      <c r="Y894" s="1672"/>
      <c r="Z894" s="1672"/>
      <c r="AA894" s="1672"/>
      <c r="AB894" s="1673"/>
      <c r="AC894" s="1643"/>
      <c r="AD894" s="1643"/>
      <c r="AE894" s="1643"/>
      <c r="AF894" s="1643"/>
      <c r="AG894" s="1643"/>
      <c r="AH894" s="1643"/>
      <c r="AZ894" s="34"/>
      <c r="BA894" s="34"/>
      <c r="BB894" s="34"/>
      <c r="BC894" s="34"/>
    </row>
    <row r="895" spans="3:55" ht="13" customHeight="1">
      <c r="C895" s="1671" t="s">
        <v>957</v>
      </c>
      <c r="D895" s="1672"/>
      <c r="E895" s="1672"/>
      <c r="F895" s="1672"/>
      <c r="G895" s="1672"/>
      <c r="H895" s="1672"/>
      <c r="I895" s="1672"/>
      <c r="J895" s="1672"/>
      <c r="K895" s="1672"/>
      <c r="L895" s="1672"/>
      <c r="M895" s="1672"/>
      <c r="N895" s="1672"/>
      <c r="O895" s="1672"/>
      <c r="P895" s="1672"/>
      <c r="Q895" s="1672"/>
      <c r="R895" s="1672"/>
      <c r="S895" s="1672"/>
      <c r="T895" s="1672"/>
      <c r="U895" s="1672"/>
      <c r="V895" s="1672"/>
      <c r="W895" s="1672"/>
      <c r="X895" s="1672"/>
      <c r="Y895" s="1672"/>
      <c r="Z895" s="1672"/>
      <c r="AA895" s="1672"/>
      <c r="AB895" s="1673"/>
      <c r="AC895" s="1643"/>
      <c r="AD895" s="1643"/>
      <c r="AE895" s="1643"/>
      <c r="AF895" s="1643"/>
      <c r="AG895" s="1643"/>
      <c r="AH895" s="1643"/>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614</v>
      </c>
      <c r="C897" s="2" t="s">
        <v>237</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238</v>
      </c>
      <c r="I899" s="5"/>
      <c r="J899" s="5"/>
      <c r="K899" s="5"/>
      <c r="L899" s="5"/>
      <c r="M899" s="5"/>
      <c r="N899" s="5"/>
      <c r="O899" s="5"/>
      <c r="P899" s="5"/>
      <c r="Q899" s="5"/>
      <c r="R899" s="5"/>
      <c r="S899" s="5"/>
      <c r="T899" s="5"/>
      <c r="U899" s="5"/>
      <c r="V899" s="5"/>
      <c r="W899" s="5"/>
      <c r="X899" s="5"/>
      <c r="Y899" s="46"/>
      <c r="Z899" s="1478">
        <v>0</v>
      </c>
      <c r="AA899" s="1341"/>
      <c r="AB899" s="1341"/>
      <c r="AC899" s="1341"/>
      <c r="AD899" s="1341"/>
      <c r="AE899" s="1342"/>
      <c r="AF899" s="533"/>
      <c r="AZ899" s="34"/>
      <c r="BB899" s="30"/>
      <c r="BC899" s="816"/>
      <c r="BD899" s="1640"/>
      <c r="BE899" s="1640"/>
      <c r="BF899" s="14"/>
    </row>
    <row r="900" spans="1:58" ht="13" customHeight="1">
      <c r="H900" s="121" t="s">
        <v>239</v>
      </c>
      <c r="I900" s="5"/>
      <c r="J900" s="5"/>
      <c r="K900" s="5"/>
      <c r="L900" s="5"/>
      <c r="M900" s="5"/>
      <c r="N900" s="5"/>
      <c r="O900" s="5"/>
      <c r="P900" s="5"/>
      <c r="Q900" s="5"/>
      <c r="R900" s="5"/>
      <c r="S900" s="5"/>
      <c r="T900" s="5"/>
      <c r="U900" s="5"/>
      <c r="V900" s="5"/>
      <c r="W900" s="5"/>
      <c r="X900" s="5"/>
      <c r="Y900" s="5"/>
      <c r="Z900" s="1478">
        <v>0</v>
      </c>
      <c r="AA900" s="1341"/>
      <c r="AB900" s="1341"/>
      <c r="AC900" s="1341"/>
      <c r="AD900" s="1341"/>
      <c r="AE900" s="1342"/>
      <c r="AZ900" s="34"/>
      <c r="BB900" s="30"/>
      <c r="BC900" s="816"/>
      <c r="BD900" s="1640"/>
      <c r="BE900" s="1640"/>
      <c r="BF900" s="14"/>
    </row>
    <row r="901" spans="1:58" ht="13" customHeight="1">
      <c r="H901" s="121" t="s">
        <v>240</v>
      </c>
      <c r="I901" s="5"/>
      <c r="J901" s="5"/>
      <c r="K901" s="5"/>
      <c r="L901" s="5"/>
      <c r="M901" s="5"/>
      <c r="N901" s="5"/>
      <c r="O901" s="5"/>
      <c r="P901" s="5"/>
      <c r="Q901" s="5"/>
      <c r="R901" s="5"/>
      <c r="S901" s="5"/>
      <c r="T901" s="5"/>
      <c r="U901" s="5"/>
      <c r="V901" s="5"/>
      <c r="W901" s="5"/>
      <c r="X901" s="5"/>
      <c r="Y901" s="5"/>
      <c r="Z901" s="1478">
        <v>0</v>
      </c>
      <c r="AA901" s="1341"/>
      <c r="AB901" s="1341"/>
      <c r="AC901" s="1341"/>
      <c r="AD901" s="1341"/>
      <c r="AE901" s="1342"/>
      <c r="AZ901" s="34"/>
      <c r="BB901" s="30"/>
      <c r="BC901" s="816"/>
      <c r="BD901" s="1639"/>
      <c r="BE901" s="1639"/>
      <c r="BF901" s="14"/>
    </row>
    <row r="902" spans="1:58" ht="13" customHeight="1">
      <c r="H902" s="45"/>
      <c r="I902" s="5"/>
      <c r="J902" s="5"/>
      <c r="K902" s="5"/>
      <c r="L902" s="5"/>
      <c r="M902" s="5"/>
      <c r="N902" s="5"/>
      <c r="O902" s="5"/>
      <c r="P902" s="5"/>
      <c r="Q902" s="5"/>
      <c r="R902" s="5"/>
      <c r="S902" s="5"/>
      <c r="T902" s="5"/>
      <c r="U902" s="5"/>
      <c r="V902" s="5"/>
      <c r="W902" s="5"/>
      <c r="X902" s="5"/>
      <c r="Y902" s="181" t="s">
        <v>241</v>
      </c>
      <c r="Z902" s="1475">
        <f>Z899-(Z900+Z901)</f>
        <v>0</v>
      </c>
      <c r="AA902" s="1476"/>
      <c r="AB902" s="1476"/>
      <c r="AC902" s="1476"/>
      <c r="AD902" s="1476"/>
      <c r="AE902" s="1477"/>
      <c r="AZ902" s="34"/>
      <c r="BB902" s="30"/>
      <c r="BC902" s="816"/>
      <c r="BD902" s="1639"/>
      <c r="BE902" s="163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9"/>
      <c r="BE903" s="1639"/>
      <c r="BF903" s="14"/>
    </row>
    <row r="904" spans="1:58" ht="13"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0"/>
      <c r="BE904" s="1639"/>
      <c r="BF904" s="14"/>
    </row>
    <row r="905" spans="1:58" ht="13"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9"/>
      <c r="BE905" s="1669"/>
      <c r="BF905" s="1669"/>
    </row>
    <row r="906" spans="1:58" ht="13"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8"/>
      <c r="BE906" s="1668"/>
      <c r="BF906" s="1668"/>
    </row>
    <row r="907" spans="1:58" ht="13"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9"/>
      <c r="BE907" s="163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0"/>
      <c r="BE908" s="1639"/>
      <c r="BF908" s="14"/>
    </row>
    <row r="909" spans="1:58" ht="13" customHeight="1">
      <c r="AZ909" s="34"/>
      <c r="BB909" s="30"/>
      <c r="BC909" s="816"/>
    </row>
    <row r="910" spans="1:58" ht="13"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40"/>
      <c r="BE910" s="1639"/>
      <c r="BF910" s="911"/>
    </row>
    <row r="911" spans="1:58" ht="13"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6" t="s">
        <v>793</v>
      </c>
      <c r="G915" s="1717"/>
      <c r="H915" s="1717"/>
      <c r="I915" s="1717"/>
      <c r="J915" s="1717"/>
      <c r="K915" s="1717"/>
      <c r="L915" s="1717"/>
      <c r="M915" s="1717"/>
      <c r="N915" s="1717"/>
      <c r="O915" s="1717"/>
      <c r="P915" s="1717"/>
      <c r="Q915" s="1717"/>
      <c r="R915" s="1717"/>
      <c r="S915" s="1717"/>
      <c r="T915" s="1718"/>
      <c r="U915" s="1759" t="s">
        <v>31</v>
      </c>
      <c r="V915" s="1691"/>
      <c r="W915" s="1691"/>
      <c r="X915" s="1691"/>
      <c r="Y915" s="1691"/>
      <c r="Z915" s="1691"/>
      <c r="AA915" s="43"/>
      <c r="AB915" s="105"/>
      <c r="AC915" s="105"/>
      <c r="AD915" s="105"/>
      <c r="AE915" s="105"/>
      <c r="AF915" s="106"/>
      <c r="AZ915" s="34"/>
      <c r="BA915" s="34"/>
      <c r="BB915" s="34"/>
      <c r="BC915" s="34"/>
    </row>
    <row r="916" spans="1:58" ht="13" customHeight="1">
      <c r="B916" s="2"/>
      <c r="F916" s="1760" t="s">
        <v>819</v>
      </c>
      <c r="G916" s="1761"/>
      <c r="H916" s="1761"/>
      <c r="I916" s="1761"/>
      <c r="J916" s="1761"/>
      <c r="K916" s="1761"/>
      <c r="L916" s="1761"/>
      <c r="M916" s="1761"/>
      <c r="N916" s="1761"/>
      <c r="O916" s="1761"/>
      <c r="P916" s="1761"/>
      <c r="Q916" s="1761"/>
      <c r="R916" s="1761"/>
      <c r="S916" s="1761"/>
      <c r="T916" s="1783"/>
      <c r="U916" s="1760"/>
      <c r="V916" s="1761"/>
      <c r="W916" s="1761"/>
      <c r="X916" s="1761"/>
      <c r="Y916" s="1761"/>
      <c r="Z916" s="1761"/>
      <c r="AA916" s="44"/>
      <c r="AB916" s="4"/>
      <c r="AC916" s="4"/>
      <c r="AD916" s="4"/>
      <c r="AE916" s="4"/>
      <c r="AF916" s="107"/>
      <c r="AZ916" s="34"/>
      <c r="BA916" s="34"/>
      <c r="BB916" s="34"/>
      <c r="BC916" s="34"/>
    </row>
    <row r="917" spans="1:58" ht="13" customHeight="1">
      <c r="B917" s="2"/>
      <c r="F917" s="1762"/>
      <c r="G917" s="1693"/>
      <c r="H917" s="1693"/>
      <c r="I917" s="1693"/>
      <c r="J917" s="1693"/>
      <c r="K917" s="1693"/>
      <c r="L917" s="1693"/>
      <c r="M917" s="1693"/>
      <c r="N917" s="1693"/>
      <c r="O917" s="1693"/>
      <c r="P917" s="1693"/>
      <c r="Q917" s="1693"/>
      <c r="R917" s="1693"/>
      <c r="S917" s="1693"/>
      <c r="T917" s="1694"/>
      <c r="U917" s="1762"/>
      <c r="V917" s="1693"/>
      <c r="W917" s="1693"/>
      <c r="X917" s="1693"/>
      <c r="Y917" s="1693"/>
      <c r="Z917" s="1693"/>
      <c r="AA917" s="108"/>
      <c r="AB917" s="1434" t="s">
        <v>391</v>
      </c>
      <c r="AC917" s="1434"/>
      <c r="AD917" s="1434"/>
      <c r="AE917" s="1434"/>
      <c r="AF917" s="109"/>
      <c r="AZ917" s="34"/>
      <c r="BA917" s="34"/>
      <c r="BB917" s="34"/>
      <c r="BC917" s="34"/>
    </row>
    <row r="918" spans="1:58" ht="13" customHeight="1">
      <c r="B918" s="2"/>
      <c r="F918" s="45" t="s">
        <v>759</v>
      </c>
      <c r="G918" s="48"/>
      <c r="H918" s="48"/>
      <c r="I918" s="48"/>
      <c r="J918" s="48"/>
      <c r="K918" s="48"/>
      <c r="L918" s="48"/>
      <c r="M918" s="48"/>
      <c r="N918" s="48"/>
      <c r="O918" s="48"/>
      <c r="P918" s="48"/>
      <c r="Q918" s="48"/>
      <c r="R918" s="48"/>
      <c r="S918" s="48"/>
      <c r="T918" s="49"/>
      <c r="U918" s="1633" t="s">
        <v>546</v>
      </c>
      <c r="V918" s="1430"/>
      <c r="W918" s="1430"/>
      <c r="X918" s="1430"/>
      <c r="Y918" s="1430"/>
      <c r="Z918" s="1431"/>
      <c r="AA918" s="1637">
        <f>AM554+AM555</f>
        <v>28500000</v>
      </c>
      <c r="AB918" s="1524"/>
      <c r="AC918" s="1524"/>
      <c r="AD918" s="1524"/>
      <c r="AE918" s="1524"/>
      <c r="AF918" s="1638"/>
      <c r="AZ918" s="34"/>
      <c r="BA918" s="34"/>
      <c r="BB918" s="34"/>
      <c r="BC918" s="34"/>
    </row>
    <row r="919" spans="1:58" ht="13" customHeight="1">
      <c r="B919" s="2"/>
      <c r="F919" s="66" t="s">
        <v>676</v>
      </c>
      <c r="G919" s="48"/>
      <c r="H919" s="48"/>
      <c r="I919" s="48"/>
      <c r="J919" s="48"/>
      <c r="K919" s="48"/>
      <c r="L919" s="48"/>
      <c r="M919" s="48"/>
      <c r="N919" s="48"/>
      <c r="O919" s="48"/>
      <c r="P919" s="48"/>
      <c r="Q919" s="48"/>
      <c r="R919" s="48"/>
      <c r="S919" s="48"/>
      <c r="T919" s="49"/>
      <c r="U919" s="1633" t="s">
        <v>546</v>
      </c>
      <c r="V919" s="1430"/>
      <c r="W919" s="1430"/>
      <c r="X919" s="1430"/>
      <c r="Y919" s="1430"/>
      <c r="Z919" s="1431"/>
      <c r="AA919" s="1637">
        <f>AM556</f>
        <v>5791191</v>
      </c>
      <c r="AB919" s="1524"/>
      <c r="AC919" s="1524"/>
      <c r="AD919" s="1524"/>
      <c r="AE919" s="1524"/>
      <c r="AF919" s="1638"/>
      <c r="AZ919" s="34"/>
      <c r="BA919" s="34"/>
      <c r="BB919" s="34"/>
      <c r="BC919" s="34"/>
    </row>
    <row r="920" spans="1:58" ht="13" customHeight="1">
      <c r="F920" s="45" t="s">
        <v>802</v>
      </c>
      <c r="G920" s="5"/>
      <c r="H920" s="5"/>
      <c r="I920" s="5"/>
      <c r="J920" s="5"/>
      <c r="K920" s="5"/>
      <c r="L920" s="5"/>
      <c r="M920" s="5"/>
      <c r="N920" s="5"/>
      <c r="O920" s="5"/>
      <c r="P920" s="5"/>
      <c r="Q920" s="5"/>
      <c r="R920" s="5"/>
      <c r="S920" s="5"/>
      <c r="T920" s="46"/>
      <c r="U920" s="1633" t="s">
        <v>592</v>
      </c>
      <c r="V920" s="1430"/>
      <c r="W920" s="1430"/>
      <c r="X920" s="1430"/>
      <c r="Y920" s="1430"/>
      <c r="Z920" s="1431"/>
      <c r="AA920" s="1637"/>
      <c r="AB920" s="1524"/>
      <c r="AC920" s="1524"/>
      <c r="AD920" s="1524"/>
      <c r="AE920" s="1524"/>
      <c r="AF920" s="1638"/>
      <c r="AZ920" s="34"/>
      <c r="BA920" s="34"/>
      <c r="BB920" s="34"/>
      <c r="BC920" s="34"/>
    </row>
    <row r="921" spans="1:58" ht="13" customHeight="1">
      <c r="F921" s="45" t="s">
        <v>679</v>
      </c>
      <c r="G921" s="5"/>
      <c r="H921" s="5"/>
      <c r="I921" s="5"/>
      <c r="J921" s="5"/>
      <c r="K921" s="5"/>
      <c r="L921" s="5"/>
      <c r="M921" s="5"/>
      <c r="N921" s="5"/>
      <c r="O921" s="5"/>
      <c r="P921" s="5"/>
      <c r="Q921" s="5"/>
      <c r="R921" s="5"/>
      <c r="S921" s="5"/>
      <c r="T921" s="46"/>
      <c r="U921" s="1633" t="s">
        <v>592</v>
      </c>
      <c r="V921" s="1430"/>
      <c r="W921" s="1430"/>
      <c r="X921" s="1430"/>
      <c r="Y921" s="1430"/>
      <c r="Z921" s="1431"/>
      <c r="AA921" s="1637"/>
      <c r="AB921" s="1524"/>
      <c r="AC921" s="1524"/>
      <c r="AD921" s="1524"/>
      <c r="AE921" s="1524"/>
      <c r="AF921" s="1638"/>
      <c r="AZ921" s="34"/>
      <c r="BA921" s="34"/>
      <c r="BB921" s="34"/>
      <c r="BC921" s="34"/>
    </row>
    <row r="922" spans="1:58" ht="13" customHeight="1">
      <c r="F922" s="66" t="s">
        <v>787</v>
      </c>
      <c r="G922" s="5"/>
      <c r="H922" s="5"/>
      <c r="I922" s="5"/>
      <c r="J922" s="5"/>
      <c r="K922" s="5"/>
      <c r="L922" s="5"/>
      <c r="M922" s="5"/>
      <c r="N922" s="5"/>
      <c r="O922" s="5"/>
      <c r="P922" s="5"/>
      <c r="Q922" s="5"/>
      <c r="R922" s="5"/>
      <c r="S922" s="5"/>
      <c r="T922" s="46"/>
      <c r="U922" s="1633" t="s">
        <v>592</v>
      </c>
      <c r="V922" s="1430"/>
      <c r="W922" s="1430"/>
      <c r="X922" s="1430"/>
      <c r="Y922" s="1430"/>
      <c r="Z922" s="1431"/>
      <c r="AA922" s="1637"/>
      <c r="AB922" s="1524"/>
      <c r="AC922" s="1524"/>
      <c r="AD922" s="1524"/>
      <c r="AE922" s="1524"/>
      <c r="AF922" s="1638"/>
      <c r="AZ922" s="34"/>
      <c r="BA922" s="34"/>
      <c r="BB922" s="34"/>
      <c r="BC922" s="34"/>
    </row>
    <row r="923" spans="1:58" ht="13" customHeight="1">
      <c r="F923" s="66" t="s">
        <v>788</v>
      </c>
      <c r="G923" s="5"/>
      <c r="H923" s="5"/>
      <c r="I923" s="5"/>
      <c r="J923" s="5"/>
      <c r="K923" s="5"/>
      <c r="L923" s="5"/>
      <c r="M923" s="5"/>
      <c r="N923" s="5"/>
      <c r="O923" s="5"/>
      <c r="P923" s="5"/>
      <c r="Q923" s="5"/>
      <c r="R923" s="5"/>
      <c r="S923" s="5"/>
      <c r="T923" s="46"/>
      <c r="U923" s="1633" t="s">
        <v>592</v>
      </c>
      <c r="V923" s="1430"/>
      <c r="W923" s="1430"/>
      <c r="X923" s="1430"/>
      <c r="Y923" s="1430"/>
      <c r="Z923" s="1431"/>
      <c r="AA923" s="1637"/>
      <c r="AB923" s="1524"/>
      <c r="AC923" s="1524"/>
      <c r="AD923" s="1524"/>
      <c r="AE923" s="1524"/>
      <c r="AF923" s="1638"/>
      <c r="AZ923" s="34"/>
      <c r="BA923" s="34"/>
      <c r="BB923" s="34"/>
      <c r="BC923" s="34"/>
    </row>
    <row r="924" spans="1:58" ht="13" customHeight="1">
      <c r="F924" s="66" t="s">
        <v>789</v>
      </c>
      <c r="G924" s="5"/>
      <c r="H924" s="5"/>
      <c r="I924" s="5"/>
      <c r="J924" s="5"/>
      <c r="K924" s="5"/>
      <c r="L924" s="5"/>
      <c r="M924" s="5"/>
      <c r="N924" s="5"/>
      <c r="O924" s="5"/>
      <c r="P924" s="5"/>
      <c r="Q924" s="5"/>
      <c r="R924" s="5"/>
      <c r="S924" s="5"/>
      <c r="T924" s="46"/>
      <c r="U924" s="1633" t="s">
        <v>592</v>
      </c>
      <c r="V924" s="1430"/>
      <c r="W924" s="1430"/>
      <c r="X924" s="1430"/>
      <c r="Y924" s="1430"/>
      <c r="Z924" s="1431"/>
      <c r="AA924" s="1637"/>
      <c r="AB924" s="1524"/>
      <c r="AC924" s="1524"/>
      <c r="AD924" s="1524"/>
      <c r="AE924" s="1524"/>
      <c r="AF924" s="1638"/>
      <c r="AZ924" s="34"/>
      <c r="BA924" s="34"/>
      <c r="BB924" s="34"/>
      <c r="BC924" s="34"/>
    </row>
    <row r="925" spans="1:58" ht="13" customHeight="1">
      <c r="F925" s="45" t="s">
        <v>678</v>
      </c>
      <c r="G925" s="5"/>
      <c r="H925" s="5"/>
      <c r="I925" s="5"/>
      <c r="J925" s="5"/>
      <c r="K925" s="5"/>
      <c r="L925" s="5"/>
      <c r="M925" s="5"/>
      <c r="N925" s="5"/>
      <c r="O925" s="5"/>
      <c r="P925" s="5"/>
      <c r="Q925" s="5"/>
      <c r="R925" s="5"/>
      <c r="S925" s="5"/>
      <c r="T925" s="46"/>
      <c r="U925" s="1633" t="s">
        <v>592</v>
      </c>
      <c r="V925" s="1430"/>
      <c r="W925" s="1430"/>
      <c r="X925" s="1430"/>
      <c r="Y925" s="1430"/>
      <c r="Z925" s="1431"/>
      <c r="AA925" s="1637"/>
      <c r="AB925" s="1524"/>
      <c r="AC925" s="1524"/>
      <c r="AD925" s="1524"/>
      <c r="AE925" s="1524"/>
      <c r="AF925" s="1638"/>
      <c r="AZ925" s="34"/>
      <c r="BA925" s="34"/>
      <c r="BB925" s="34"/>
      <c r="BC925" s="34"/>
    </row>
    <row r="926" spans="1:58" ht="13" customHeight="1">
      <c r="F926" s="1630" t="s">
        <v>2194</v>
      </c>
      <c r="G926" s="1631"/>
      <c r="H926" s="1631"/>
      <c r="I926" s="1631"/>
      <c r="J926" s="1631"/>
      <c r="K926" s="1631"/>
      <c r="L926" s="1631"/>
      <c r="M926" s="1631"/>
      <c r="N926" s="1631"/>
      <c r="O926" s="1631"/>
      <c r="P926" s="1631"/>
      <c r="Q926" s="1631"/>
      <c r="R926" s="1631"/>
      <c r="S926" s="1631"/>
      <c r="T926" s="1632"/>
      <c r="U926" s="1633" t="s">
        <v>592</v>
      </c>
      <c r="V926" s="1430"/>
      <c r="W926" s="1430"/>
      <c r="X926" s="1430"/>
      <c r="Y926" s="1430"/>
      <c r="Z926" s="1431"/>
      <c r="AA926" s="1637"/>
      <c r="AB926" s="1524"/>
      <c r="AC926" s="1524"/>
      <c r="AD926" s="1524"/>
      <c r="AE926" s="1524"/>
      <c r="AF926" s="1638"/>
      <c r="AZ926" s="34"/>
      <c r="BA926" s="34"/>
      <c r="BB926" s="34"/>
      <c r="BC926" s="34"/>
    </row>
    <row r="927" spans="1:58" ht="13" customHeight="1">
      <c r="F927" s="1630" t="s">
        <v>680</v>
      </c>
      <c r="G927" s="1631"/>
      <c r="H927" s="1631"/>
      <c r="I927" s="1631"/>
      <c r="J927" s="1631"/>
      <c r="K927" s="1631"/>
      <c r="L927" s="1631"/>
      <c r="M927" s="1631"/>
      <c r="N927" s="1631"/>
      <c r="O927" s="1631"/>
      <c r="P927" s="1631"/>
      <c r="Q927" s="1631"/>
      <c r="R927" s="1631"/>
      <c r="S927" s="1631"/>
      <c r="T927" s="1632"/>
      <c r="U927" s="1633" t="s">
        <v>592</v>
      </c>
      <c r="V927" s="1430"/>
      <c r="W927" s="1430"/>
      <c r="X927" s="1430"/>
      <c r="Y927" s="1430"/>
      <c r="Z927" s="1431"/>
      <c r="AA927" s="1637"/>
      <c r="AB927" s="1524"/>
      <c r="AC927" s="1524"/>
      <c r="AD927" s="1524"/>
      <c r="AE927" s="1524"/>
      <c r="AF927" s="1638"/>
      <c r="AU927" s="2"/>
      <c r="AZ927" s="34"/>
      <c r="BA927" s="34"/>
      <c r="BB927" s="34"/>
      <c r="BC927" s="34"/>
    </row>
    <row r="928" spans="1:58" ht="13" customHeight="1">
      <c r="F928" s="1630" t="s">
        <v>2195</v>
      </c>
      <c r="G928" s="1631"/>
      <c r="H928" s="1631"/>
      <c r="I928" s="1631"/>
      <c r="J928" s="1631"/>
      <c r="K928" s="1631"/>
      <c r="L928" s="1631"/>
      <c r="M928" s="1631"/>
      <c r="N928" s="1631"/>
      <c r="O928" s="1631"/>
      <c r="P928" s="1631"/>
      <c r="Q928" s="1631"/>
      <c r="R928" s="1631"/>
      <c r="S928" s="1631"/>
      <c r="T928" s="1632"/>
      <c r="U928" s="1633" t="s">
        <v>592</v>
      </c>
      <c r="V928" s="1430"/>
      <c r="W928" s="1430"/>
      <c r="X928" s="1430"/>
      <c r="Y928" s="1430"/>
      <c r="Z928" s="1431"/>
      <c r="AA928" s="1637"/>
      <c r="AB928" s="1524"/>
      <c r="AC928" s="1524"/>
      <c r="AD928" s="1524"/>
      <c r="AE928" s="1524"/>
      <c r="AF928" s="1638"/>
      <c r="AU928" s="2"/>
      <c r="AZ928" s="34"/>
      <c r="BA928" s="34"/>
      <c r="BB928" s="34"/>
      <c r="BC928" s="34"/>
    </row>
    <row r="929" spans="6:55" ht="13" customHeight="1">
      <c r="F929" s="1630" t="s">
        <v>2196</v>
      </c>
      <c r="G929" s="1631"/>
      <c r="H929" s="1631"/>
      <c r="I929" s="1631"/>
      <c r="J929" s="1631"/>
      <c r="K929" s="1631"/>
      <c r="L929" s="1631"/>
      <c r="M929" s="1631"/>
      <c r="N929" s="1631"/>
      <c r="O929" s="1631"/>
      <c r="P929" s="1631"/>
      <c r="Q929" s="1631"/>
      <c r="R929" s="1631"/>
      <c r="S929" s="1631"/>
      <c r="T929" s="1632"/>
      <c r="U929" s="1633" t="s">
        <v>592</v>
      </c>
      <c r="V929" s="1430"/>
      <c r="W929" s="1430"/>
      <c r="X929" s="1430"/>
      <c r="Y929" s="1430"/>
      <c r="Z929" s="1431"/>
      <c r="AA929" s="1637"/>
      <c r="AB929" s="1524"/>
      <c r="AC929" s="1524"/>
      <c r="AD929" s="1524"/>
      <c r="AE929" s="1524"/>
      <c r="AF929" s="1638"/>
      <c r="AU929" s="2"/>
      <c r="AZ929" s="34"/>
      <c r="BA929" s="34"/>
      <c r="BB929" s="34"/>
      <c r="BC929" s="34"/>
    </row>
    <row r="930" spans="6:55" ht="13" customHeight="1">
      <c r="F930" s="1630" t="s">
        <v>2197</v>
      </c>
      <c r="G930" s="1631"/>
      <c r="H930" s="1631"/>
      <c r="I930" s="1631"/>
      <c r="J930" s="1631"/>
      <c r="K930" s="1631"/>
      <c r="L930" s="1631"/>
      <c r="M930" s="1631"/>
      <c r="N930" s="1631"/>
      <c r="O930" s="1631"/>
      <c r="P930" s="1631"/>
      <c r="Q930" s="1631"/>
      <c r="R930" s="1631"/>
      <c r="S930" s="1631"/>
      <c r="T930" s="1632"/>
      <c r="U930" s="1633" t="s">
        <v>592</v>
      </c>
      <c r="V930" s="1430"/>
      <c r="W930" s="1430"/>
      <c r="X930" s="1430"/>
      <c r="Y930" s="1430"/>
      <c r="Z930" s="1431"/>
      <c r="AA930" s="1637"/>
      <c r="AB930" s="1524"/>
      <c r="AC930" s="1524"/>
      <c r="AD930" s="1524"/>
      <c r="AE930" s="1524"/>
      <c r="AF930" s="1638"/>
      <c r="AU930" s="2"/>
      <c r="AZ930" s="34"/>
      <c r="BA930" s="34"/>
      <c r="BB930" s="34"/>
      <c r="BC930" s="34"/>
    </row>
    <row r="931" spans="6:55" ht="13" customHeight="1">
      <c r="F931" s="1630" t="s">
        <v>2198</v>
      </c>
      <c r="G931" s="1631"/>
      <c r="H931" s="1631"/>
      <c r="I931" s="1631"/>
      <c r="J931" s="1631"/>
      <c r="K931" s="1631"/>
      <c r="L931" s="1631"/>
      <c r="M931" s="1631"/>
      <c r="N931" s="1631"/>
      <c r="O931" s="1631"/>
      <c r="P931" s="1631"/>
      <c r="Q931" s="1631"/>
      <c r="R931" s="1631"/>
      <c r="S931" s="1631"/>
      <c r="T931" s="1632"/>
      <c r="U931" s="1633" t="s">
        <v>592</v>
      </c>
      <c r="V931" s="1430"/>
      <c r="W931" s="1430"/>
      <c r="X931" s="1430"/>
      <c r="Y931" s="1430"/>
      <c r="Z931" s="1431"/>
      <c r="AA931" s="1637"/>
      <c r="AB931" s="1524"/>
      <c r="AC931" s="1524"/>
      <c r="AD931" s="1524"/>
      <c r="AE931" s="1524"/>
      <c r="AF931" s="1638"/>
      <c r="AU931" s="2"/>
      <c r="AZ931" s="34"/>
      <c r="BA931" s="34"/>
      <c r="BB931" s="34"/>
      <c r="BC931" s="34"/>
    </row>
    <row r="932" spans="6:55" ht="13" customHeight="1">
      <c r="F932" s="1630" t="s">
        <v>2199</v>
      </c>
      <c r="G932" s="1631"/>
      <c r="H932" s="1631"/>
      <c r="I932" s="1631"/>
      <c r="J932" s="1631"/>
      <c r="K932" s="1631"/>
      <c r="L932" s="1631"/>
      <c r="M932" s="1631"/>
      <c r="N932" s="1631"/>
      <c r="O932" s="1631"/>
      <c r="P932" s="1631"/>
      <c r="Q932" s="1631"/>
      <c r="R932" s="1631"/>
      <c r="S932" s="1631"/>
      <c r="T932" s="1632"/>
      <c r="U932" s="1633" t="s">
        <v>592</v>
      </c>
      <c r="V932" s="1430"/>
      <c r="W932" s="1430"/>
      <c r="X932" s="1430"/>
      <c r="Y932" s="1430"/>
      <c r="Z932" s="1431"/>
      <c r="AA932" s="1637"/>
      <c r="AB932" s="1524"/>
      <c r="AC932" s="1524"/>
      <c r="AD932" s="1524"/>
      <c r="AE932" s="1524"/>
      <c r="AF932" s="1638"/>
      <c r="AZ932" s="30"/>
      <c r="BA932" s="30"/>
    </row>
    <row r="933" spans="6:55" ht="13" customHeight="1">
      <c r="F933" s="178" t="s">
        <v>677</v>
      </c>
      <c r="G933" s="5"/>
      <c r="H933" s="5"/>
      <c r="I933" s="5"/>
      <c r="J933" s="5"/>
      <c r="K933" s="5"/>
      <c r="L933" s="5"/>
      <c r="M933" s="5"/>
      <c r="N933" s="5"/>
      <c r="O933" s="5"/>
      <c r="P933" s="5"/>
      <c r="Q933" s="5"/>
      <c r="R933" s="5"/>
      <c r="S933" s="5"/>
      <c r="T933" s="46"/>
      <c r="U933" s="1633" t="s">
        <v>592</v>
      </c>
      <c r="V933" s="1430"/>
      <c r="W933" s="1430"/>
      <c r="X933" s="1430"/>
      <c r="Y933" s="1430"/>
      <c r="Z933" s="1431"/>
      <c r="AA933" s="1637"/>
      <c r="AB933" s="1524"/>
      <c r="AC933" s="1524"/>
      <c r="AD933" s="1524"/>
      <c r="AE933" s="1524"/>
      <c r="AF933" s="1638"/>
    </row>
    <row r="934" spans="6:55" ht="13" customHeight="1">
      <c r="F934" s="121" t="s">
        <v>1278</v>
      </c>
      <c r="G934" s="5"/>
      <c r="H934" s="5"/>
      <c r="I934" s="5"/>
      <c r="J934" s="5"/>
      <c r="K934" s="5"/>
      <c r="L934" s="5"/>
      <c r="M934" s="5"/>
      <c r="N934" s="5"/>
      <c r="O934" s="5"/>
      <c r="P934" s="5"/>
      <c r="Q934" s="5"/>
      <c r="R934" s="5"/>
      <c r="S934" s="5"/>
      <c r="T934" s="46"/>
      <c r="U934" s="1633" t="s">
        <v>592</v>
      </c>
      <c r="V934" s="1430"/>
      <c r="W934" s="1430"/>
      <c r="X934" s="1430"/>
      <c r="Y934" s="1430"/>
      <c r="Z934" s="1431"/>
      <c r="AA934" s="1637"/>
      <c r="AB934" s="1524"/>
      <c r="AC934" s="1524"/>
      <c r="AD934" s="1524"/>
      <c r="AE934" s="1524"/>
      <c r="AF934" s="1638"/>
      <c r="AZ934" s="30"/>
      <c r="BA934" s="14"/>
    </row>
    <row r="935" spans="6:55" ht="13" customHeight="1">
      <c r="F935" s="66" t="s">
        <v>803</v>
      </c>
      <c r="G935" s="5"/>
      <c r="H935" s="5"/>
      <c r="I935" s="5"/>
      <c r="J935" s="5"/>
      <c r="K935" s="5"/>
      <c r="L935" s="5"/>
      <c r="M935" s="5"/>
      <c r="N935" s="5"/>
      <c r="O935" s="5"/>
      <c r="P935" s="5"/>
      <c r="Q935" s="5"/>
      <c r="R935" s="5"/>
      <c r="S935" s="5"/>
      <c r="T935" s="46"/>
      <c r="U935" s="1633" t="s">
        <v>592</v>
      </c>
      <c r="V935" s="1430"/>
      <c r="W935" s="1430"/>
      <c r="X935" s="1430"/>
      <c r="Y935" s="1430"/>
      <c r="Z935" s="1431"/>
      <c r="AA935" s="1637"/>
      <c r="AB935" s="1524"/>
      <c r="AC935" s="1524"/>
      <c r="AD935" s="1524"/>
      <c r="AE935" s="1524"/>
      <c r="AF935" s="1638"/>
      <c r="AZ935" s="30"/>
      <c r="BA935" s="14"/>
    </row>
    <row r="936" spans="6:55" ht="13" customHeight="1">
      <c r="F936" s="1634" t="s">
        <v>2203</v>
      </c>
      <c r="G936" s="1635"/>
      <c r="H936" s="1635"/>
      <c r="I936" s="1635"/>
      <c r="J936" s="1635"/>
      <c r="K936" s="1635"/>
      <c r="L936" s="1635"/>
      <c r="M936" s="1635"/>
      <c r="N936" s="1635"/>
      <c r="O936" s="1635"/>
      <c r="P936" s="1635"/>
      <c r="Q936" s="1635"/>
      <c r="R936" s="1635"/>
      <c r="S936" s="1635"/>
      <c r="T936" s="1636"/>
      <c r="U936" s="1633" t="s">
        <v>592</v>
      </c>
      <c r="V936" s="1430"/>
      <c r="W936" s="1430"/>
      <c r="X936" s="1430"/>
      <c r="Y936" s="1430"/>
      <c r="Z936" s="1431"/>
      <c r="AA936" s="1637"/>
      <c r="AB936" s="1524"/>
      <c r="AC936" s="1524"/>
      <c r="AD936" s="1524"/>
      <c r="AE936" s="1524"/>
      <c r="AF936" s="1638"/>
      <c r="AZ936" s="30"/>
      <c r="BA936" s="14"/>
    </row>
    <row r="937" spans="6:55" ht="13" customHeight="1">
      <c r="F937" s="1634" t="s">
        <v>2204</v>
      </c>
      <c r="G937" s="1635"/>
      <c r="H937" s="1635"/>
      <c r="I937" s="1635"/>
      <c r="J937" s="1635"/>
      <c r="K937" s="1635"/>
      <c r="L937" s="1635"/>
      <c r="M937" s="1635"/>
      <c r="N937" s="1635"/>
      <c r="O937" s="1635"/>
      <c r="P937" s="1635"/>
      <c r="Q937" s="1635"/>
      <c r="R937" s="1635"/>
      <c r="S937" s="1635"/>
      <c r="T937" s="1636"/>
      <c r="U937" s="1633" t="s">
        <v>592</v>
      </c>
      <c r="V937" s="1430"/>
      <c r="W937" s="1430"/>
      <c r="X937" s="1430"/>
      <c r="Y937" s="1430"/>
      <c r="Z937" s="1431"/>
      <c r="AA937" s="1637"/>
      <c r="AB937" s="1524"/>
      <c r="AC937" s="1524"/>
      <c r="AD937" s="1524"/>
      <c r="AE937" s="1524"/>
      <c r="AF937" s="1638"/>
      <c r="AZ937" s="30"/>
      <c r="BA937" s="30"/>
    </row>
    <row r="938" spans="6:55" ht="13" customHeight="1">
      <c r="F938" s="1630" t="s">
        <v>2200</v>
      </c>
      <c r="G938" s="1631"/>
      <c r="H938" s="1631"/>
      <c r="I938" s="1631"/>
      <c r="J938" s="1631"/>
      <c r="K938" s="1631"/>
      <c r="L938" s="1631"/>
      <c r="M938" s="1631"/>
      <c r="N938" s="1631"/>
      <c r="O938" s="1631"/>
      <c r="P938" s="1631"/>
      <c r="Q938" s="1631"/>
      <c r="R938" s="1631"/>
      <c r="S938" s="1631"/>
      <c r="T938" s="1632"/>
      <c r="U938" s="1633" t="s">
        <v>592</v>
      </c>
      <c r="V938" s="1430"/>
      <c r="W938" s="1430"/>
      <c r="X938" s="1430"/>
      <c r="Y938" s="1430"/>
      <c r="Z938" s="1431"/>
      <c r="AA938" s="1637"/>
      <c r="AB938" s="1524"/>
      <c r="AC938" s="1524"/>
      <c r="AD938" s="1524"/>
      <c r="AE938" s="1524"/>
      <c r="AF938" s="1638"/>
      <c r="AZ938" s="30"/>
      <c r="BA938" s="30"/>
    </row>
    <row r="939" spans="6:55" ht="13" customHeight="1">
      <c r="F939" s="1630" t="s">
        <v>2201</v>
      </c>
      <c r="G939" s="1631"/>
      <c r="H939" s="1631"/>
      <c r="I939" s="1631"/>
      <c r="J939" s="1631"/>
      <c r="K939" s="1631"/>
      <c r="L939" s="1631"/>
      <c r="M939" s="1631"/>
      <c r="N939" s="1631"/>
      <c r="O939" s="1631"/>
      <c r="P939" s="1631"/>
      <c r="Q939" s="1631"/>
      <c r="R939" s="1631"/>
      <c r="S939" s="1631"/>
      <c r="T939" s="1632"/>
      <c r="U939" s="1633" t="s">
        <v>592</v>
      </c>
      <c r="V939" s="1430"/>
      <c r="W939" s="1430"/>
      <c r="X939" s="1430"/>
      <c r="Y939" s="1430"/>
      <c r="Z939" s="1431"/>
      <c r="AA939" s="1637"/>
      <c r="AB939" s="1524"/>
      <c r="AC939" s="1524"/>
      <c r="AD939" s="1524"/>
      <c r="AE939" s="1524"/>
      <c r="AF939" s="1638"/>
      <c r="AZ939" s="30"/>
      <c r="BA939" s="30"/>
    </row>
    <row r="940" spans="6:55" ht="13" customHeight="1">
      <c r="F940" s="1630" t="s">
        <v>2202</v>
      </c>
      <c r="G940" s="1631"/>
      <c r="H940" s="1631"/>
      <c r="I940" s="1631"/>
      <c r="J940" s="1631"/>
      <c r="K940" s="1631"/>
      <c r="L940" s="1631"/>
      <c r="M940" s="1631"/>
      <c r="N940" s="1631"/>
      <c r="O940" s="1631"/>
      <c r="P940" s="1631"/>
      <c r="Q940" s="1631"/>
      <c r="R940" s="1631"/>
      <c r="S940" s="1631"/>
      <c r="T940" s="1632"/>
      <c r="U940" s="1633" t="s">
        <v>592</v>
      </c>
      <c r="V940" s="1430"/>
      <c r="W940" s="1430"/>
      <c r="X940" s="1430"/>
      <c r="Y940" s="1430"/>
      <c r="Z940" s="1431"/>
      <c r="AA940" s="1637"/>
      <c r="AB940" s="1524"/>
      <c r="AC940" s="1524"/>
      <c r="AD940" s="1524"/>
      <c r="AE940" s="1524"/>
      <c r="AF940" s="1638"/>
      <c r="AZ940" s="34"/>
      <c r="BA940" s="34"/>
      <c r="BB940" s="14"/>
      <c r="BC940" s="14"/>
    </row>
    <row r="941" spans="6:55" ht="13" customHeight="1">
      <c r="F941" s="121" t="s">
        <v>1262</v>
      </c>
      <c r="G941" s="5"/>
      <c r="H941" s="5"/>
      <c r="I941" s="5"/>
      <c r="J941" s="5"/>
      <c r="K941" s="5"/>
      <c r="L941" s="5"/>
      <c r="M941" s="5"/>
      <c r="N941" s="5"/>
      <c r="O941" s="5"/>
      <c r="P941" s="5"/>
      <c r="Q941" s="5"/>
      <c r="R941" s="5"/>
      <c r="S941" s="5"/>
      <c r="T941" s="46"/>
      <c r="U941" s="1633" t="s">
        <v>592</v>
      </c>
      <c r="V941" s="1430"/>
      <c r="W941" s="1430"/>
      <c r="X941" s="1430"/>
      <c r="Y941" s="1430"/>
      <c r="Z941" s="1431"/>
      <c r="AA941" s="1637"/>
      <c r="AB941" s="1524"/>
      <c r="AC941" s="1524"/>
      <c r="AD941" s="1524"/>
      <c r="AE941" s="1524"/>
      <c r="AF941" s="1638"/>
      <c r="AZ941" s="34"/>
      <c r="BA941" s="34"/>
      <c r="BB941" s="14"/>
      <c r="BC941" s="14"/>
    </row>
    <row r="942" spans="6:55" ht="13" customHeight="1">
      <c r="F942" s="1634" t="s">
        <v>2205</v>
      </c>
      <c r="G942" s="1635"/>
      <c r="H942" s="1635"/>
      <c r="I942" s="1635"/>
      <c r="J942" s="1635"/>
      <c r="K942" s="1635"/>
      <c r="L942" s="1635"/>
      <c r="M942" s="1635"/>
      <c r="N942" s="1635"/>
      <c r="O942" s="1635"/>
      <c r="P942" s="1635"/>
      <c r="Q942" s="1635"/>
      <c r="R942" s="1635"/>
      <c r="S942" s="1635"/>
      <c r="T942" s="1636"/>
      <c r="U942" s="1633" t="s">
        <v>592</v>
      </c>
      <c r="V942" s="1430"/>
      <c r="W942" s="1430"/>
      <c r="X942" s="1430"/>
      <c r="Y942" s="1430"/>
      <c r="Z942" s="1431"/>
      <c r="AA942" s="1637"/>
      <c r="AB942" s="1524"/>
      <c r="AC942" s="1524"/>
      <c r="AD942" s="1524"/>
      <c r="AE942" s="1524"/>
      <c r="AF942" s="1638"/>
      <c r="AZ942" s="34"/>
      <c r="BA942" s="34"/>
      <c r="BB942" s="34"/>
      <c r="BC942" s="34"/>
    </row>
    <row r="943" spans="6:55" ht="13" customHeight="1">
      <c r="F943" s="121" t="s">
        <v>1263</v>
      </c>
      <c r="G943" s="5"/>
      <c r="H943" s="5"/>
      <c r="I943" s="5"/>
      <c r="J943" s="5"/>
      <c r="K943" s="5"/>
      <c r="L943" s="5"/>
      <c r="M943" s="5"/>
      <c r="N943" s="5"/>
      <c r="O943" s="5"/>
      <c r="P943" s="5"/>
      <c r="Q943" s="5"/>
      <c r="R943" s="5"/>
      <c r="S943" s="5"/>
      <c r="T943" s="46"/>
      <c r="U943" s="1633" t="s">
        <v>592</v>
      </c>
      <c r="V943" s="1430"/>
      <c r="W943" s="1430"/>
      <c r="X943" s="1430"/>
      <c r="Y943" s="1430"/>
      <c r="Z943" s="1431"/>
      <c r="AA943" s="1637"/>
      <c r="AB943" s="1524"/>
      <c r="AC943" s="1524"/>
      <c r="AD943" s="1524"/>
      <c r="AE943" s="1524"/>
      <c r="AF943" s="1638"/>
      <c r="AZ943" s="34"/>
      <c r="BA943" s="34"/>
      <c r="BB943" s="34"/>
      <c r="BC943" s="34"/>
    </row>
    <row r="944" spans="6:55" ht="13" customHeight="1">
      <c r="F944" s="1634" t="s">
        <v>2206</v>
      </c>
      <c r="G944" s="1635"/>
      <c r="H944" s="1635"/>
      <c r="I944" s="1635"/>
      <c r="J944" s="1635"/>
      <c r="K944" s="1635"/>
      <c r="L944" s="1635"/>
      <c r="M944" s="1635"/>
      <c r="N944" s="1635"/>
      <c r="O944" s="1635"/>
      <c r="P944" s="1635"/>
      <c r="Q944" s="1635"/>
      <c r="R944" s="1635"/>
      <c r="S944" s="1635"/>
      <c r="T944" s="1636"/>
      <c r="U944" s="1633" t="s">
        <v>592</v>
      </c>
      <c r="V944" s="1430"/>
      <c r="W944" s="1430"/>
      <c r="X944" s="1430"/>
      <c r="Y944" s="1430"/>
      <c r="Z944" s="1431"/>
      <c r="AA944" s="1637"/>
      <c r="AB944" s="1524"/>
      <c r="AC944" s="1524"/>
      <c r="AD944" s="1524"/>
      <c r="AE944" s="1524"/>
      <c r="AF944" s="1638"/>
      <c r="AZ944" s="34"/>
      <c r="BA944" s="34"/>
      <c r="BB944" s="34"/>
      <c r="BC944" s="34"/>
    </row>
    <row r="945" spans="1:55" ht="13" customHeight="1">
      <c r="F945" s="45" t="s">
        <v>807</v>
      </c>
      <c r="G945" s="5"/>
      <c r="H945" s="5"/>
      <c r="I945" s="5"/>
      <c r="J945" s="5"/>
      <c r="K945" s="5"/>
      <c r="L945" s="5"/>
      <c r="M945" s="5"/>
      <c r="N945" s="5"/>
      <c r="O945" s="5"/>
      <c r="P945" s="1633" t="s">
        <v>670</v>
      </c>
      <c r="Q945" s="1430"/>
      <c r="R945" s="1430"/>
      <c r="S945" s="1430"/>
      <c r="T945" s="1431"/>
      <c r="U945" s="1633" t="s">
        <v>592</v>
      </c>
      <c r="V945" s="1430"/>
      <c r="W945" s="1430"/>
      <c r="X945" s="1430"/>
      <c r="Y945" s="1430"/>
      <c r="Z945" s="1431"/>
      <c r="AA945" s="1637"/>
      <c r="AB945" s="1524"/>
      <c r="AC945" s="1524"/>
      <c r="AD945" s="1524"/>
      <c r="AE945" s="1524"/>
      <c r="AF945" s="1638"/>
      <c r="AZ945" s="34"/>
      <c r="BA945" s="34"/>
      <c r="BB945" s="34"/>
      <c r="BC945" s="34"/>
    </row>
    <row r="946" spans="1:55" ht="13" customHeight="1">
      <c r="F946" s="1630" t="s">
        <v>2193</v>
      </c>
      <c r="G946" s="1631"/>
      <c r="H946" s="1632"/>
      <c r="I946" s="1647" t="s">
        <v>334</v>
      </c>
      <c r="J946" s="1648"/>
      <c r="K946" s="1648"/>
      <c r="L946" s="1648"/>
      <c r="M946" s="1648"/>
      <c r="N946" s="1648"/>
      <c r="O946" s="1648"/>
      <c r="P946" s="1648"/>
      <c r="Q946" s="1648"/>
      <c r="R946" s="1648"/>
      <c r="S946" s="1648"/>
      <c r="T946" s="1649"/>
      <c r="U946" s="1633" t="s">
        <v>592</v>
      </c>
      <c r="V946" s="1430"/>
      <c r="W946" s="1430"/>
      <c r="X946" s="1430"/>
      <c r="Y946" s="1430"/>
      <c r="Z946" s="1431"/>
      <c r="AA946" s="1637"/>
      <c r="AB946" s="1524"/>
      <c r="AC946" s="1524"/>
      <c r="AD946" s="1524"/>
      <c r="AE946" s="1524"/>
      <c r="AF946" s="1638"/>
      <c r="AZ946" s="34"/>
      <c r="BA946" s="34"/>
      <c r="BB946" s="34"/>
      <c r="BC946" s="34"/>
    </row>
    <row r="947" spans="1:55" ht="13" customHeight="1">
      <c r="F947" s="45" t="s">
        <v>86</v>
      </c>
      <c r="G947" s="48"/>
      <c r="H947" s="48"/>
      <c r="I947" s="1647" t="s">
        <v>334</v>
      </c>
      <c r="J947" s="1648"/>
      <c r="K947" s="1648"/>
      <c r="L947" s="1648"/>
      <c r="M947" s="1648"/>
      <c r="N947" s="1648"/>
      <c r="O947" s="1648"/>
      <c r="P947" s="1648"/>
      <c r="Q947" s="1648"/>
      <c r="R947" s="1648"/>
      <c r="S947" s="1648"/>
      <c r="T947" s="1649"/>
      <c r="U947" s="1633" t="s">
        <v>592</v>
      </c>
      <c r="V947" s="1430"/>
      <c r="W947" s="1430"/>
      <c r="X947" s="1430"/>
      <c r="Y947" s="1430"/>
      <c r="Z947" s="1431"/>
      <c r="AA947" s="1637"/>
      <c r="AB947" s="1524"/>
      <c r="AC947" s="1524"/>
      <c r="AD947" s="1524"/>
      <c r="AE947" s="1524"/>
      <c r="AF947" s="1638"/>
      <c r="AZ947" s="34"/>
      <c r="BA947" s="34"/>
      <c r="BB947" s="34"/>
      <c r="BC947" s="34"/>
    </row>
    <row r="948" spans="1:55" ht="13" customHeight="1">
      <c r="F948" s="45" t="s">
        <v>10</v>
      </c>
      <c r="G948" s="48"/>
      <c r="H948" s="48"/>
      <c r="I948" s="1703" t="s">
        <v>334</v>
      </c>
      <c r="J948" s="1704"/>
      <c r="K948" s="1704"/>
      <c r="L948" s="1704"/>
      <c r="M948" s="1704"/>
      <c r="N948" s="1704"/>
      <c r="O948" s="1704"/>
      <c r="P948" s="1704"/>
      <c r="Q948" s="1704"/>
      <c r="R948" s="1704"/>
      <c r="S948" s="1704"/>
      <c r="T948" s="1705"/>
      <c r="U948" s="1633" t="s">
        <v>592</v>
      </c>
      <c r="V948" s="1430"/>
      <c r="W948" s="1430"/>
      <c r="X948" s="1430"/>
      <c r="Y948" s="1430"/>
      <c r="Z948" s="1431"/>
      <c r="AA948" s="1637"/>
      <c r="AB948" s="1524"/>
      <c r="AC948" s="1524"/>
      <c r="AD948" s="1524"/>
      <c r="AE948" s="1524"/>
      <c r="AF948" s="1638"/>
      <c r="AV948" s="2"/>
      <c r="AW948" s="2"/>
      <c r="AX948" s="2"/>
      <c r="AY948" s="2"/>
      <c r="AZ948" s="34"/>
      <c r="BA948" s="34"/>
      <c r="BB948" s="34"/>
      <c r="BC948" s="34"/>
    </row>
    <row r="949" spans="1:55" ht="13" customHeight="1">
      <c r="F949" s="47" t="s">
        <v>170</v>
      </c>
      <c r="G949" s="48"/>
      <c r="H949" s="48"/>
      <c r="I949" s="1647" t="s">
        <v>2706</v>
      </c>
      <c r="J949" s="1704"/>
      <c r="K949" s="1704"/>
      <c r="L949" s="1704"/>
      <c r="M949" s="1704"/>
      <c r="N949" s="1704"/>
      <c r="O949" s="1704"/>
      <c r="P949" s="1704"/>
      <c r="Q949" s="1704"/>
      <c r="R949" s="1704"/>
      <c r="S949" s="1704"/>
      <c r="T949" s="1705"/>
      <c r="U949" s="1633" t="s">
        <v>546</v>
      </c>
      <c r="V949" s="1430"/>
      <c r="W949" s="1430"/>
      <c r="X949" s="1430"/>
      <c r="Y949" s="1430"/>
      <c r="Z949" s="1431"/>
      <c r="AA949" s="1637">
        <f>AM557</f>
        <v>5000000</v>
      </c>
      <c r="AB949" s="1524"/>
      <c r="AC949" s="1524"/>
      <c r="AD949" s="1524"/>
      <c r="AE949" s="1524"/>
      <c r="AF949" s="1638"/>
      <c r="AU949" s="2"/>
      <c r="AZ949" s="34"/>
      <c r="BA949" s="34"/>
      <c r="BB949" s="34"/>
      <c r="BC949" s="34"/>
    </row>
    <row r="950" spans="1:55" ht="13" customHeight="1">
      <c r="F950" s="47" t="s">
        <v>170</v>
      </c>
      <c r="G950" s="48"/>
      <c r="H950" s="48"/>
      <c r="I950" s="1703" t="s">
        <v>334</v>
      </c>
      <c r="J950" s="1704"/>
      <c r="K950" s="1704"/>
      <c r="L950" s="1704"/>
      <c r="M950" s="1704"/>
      <c r="N950" s="1704"/>
      <c r="O950" s="1704"/>
      <c r="P950" s="1704"/>
      <c r="Q950" s="1704"/>
      <c r="R950" s="1704"/>
      <c r="S950" s="1704"/>
      <c r="T950" s="1705"/>
      <c r="U950" s="1633" t="s">
        <v>592</v>
      </c>
      <c r="V950" s="1430"/>
      <c r="W950" s="1430"/>
      <c r="X950" s="1430"/>
      <c r="Y950" s="1430"/>
      <c r="Z950" s="1431"/>
      <c r="AA950" s="1637"/>
      <c r="AB950" s="1524"/>
      <c r="AC950" s="1524"/>
      <c r="AD950" s="1524"/>
      <c r="AE950" s="1524"/>
      <c r="AF950" s="1638"/>
      <c r="AU950" s="2"/>
      <c r="AZ950" s="34"/>
      <c r="BA950" s="34"/>
      <c r="BB950" s="34"/>
      <c r="BC950" s="34"/>
    </row>
    <row r="951" spans="1:55" ht="13" customHeight="1">
      <c r="AU951" s="2"/>
      <c r="AZ951" s="34"/>
      <c r="BA951" s="34"/>
      <c r="BB951" s="34"/>
      <c r="BC951" s="34"/>
    </row>
    <row r="952" spans="1:55" ht="13" customHeight="1">
      <c r="A952" s="2" t="s">
        <v>577</v>
      </c>
      <c r="C952" s="2" t="s">
        <v>752</v>
      </c>
      <c r="AZ952" s="34"/>
      <c r="BA952" s="34"/>
      <c r="BB952" s="34"/>
      <c r="BC952" s="34"/>
    </row>
    <row r="953" spans="1:55" ht="13"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7" t="s">
        <v>592</v>
      </c>
      <c r="N955" s="1530"/>
      <c r="O955" s="1530"/>
      <c r="P955" s="1530"/>
      <c r="Q955" s="1530"/>
      <c r="R955" s="1530"/>
      <c r="S955" s="1628"/>
      <c r="U955" s="66" t="s">
        <v>11</v>
      </c>
      <c r="V955" s="5"/>
      <c r="W955" s="5"/>
      <c r="X955" s="5"/>
      <c r="Y955" s="5"/>
      <c r="Z955" s="5"/>
      <c r="AA955" s="5"/>
      <c r="AB955" s="5"/>
      <c r="AC955" s="5"/>
      <c r="AD955" s="46"/>
      <c r="AE955" s="1707" t="s">
        <v>592</v>
      </c>
      <c r="AF955" s="1530"/>
      <c r="AG955" s="1530"/>
      <c r="AH955" s="1530"/>
      <c r="AI955" s="1530"/>
      <c r="AJ955" s="1530"/>
      <c r="AK955" s="1628"/>
      <c r="AZ955" s="34"/>
      <c r="BA955" s="34"/>
      <c r="BB955" s="34"/>
      <c r="BC955" s="34"/>
    </row>
    <row r="956" spans="1:55" ht="13" customHeight="1">
      <c r="C956" s="66" t="s">
        <v>12</v>
      </c>
      <c r="D956" s="5"/>
      <c r="E956" s="5"/>
      <c r="F956" s="5"/>
      <c r="G956" s="5"/>
      <c r="H956" s="5"/>
      <c r="I956" s="5"/>
      <c r="J956" s="5"/>
      <c r="K956" s="5"/>
      <c r="L956" s="46"/>
      <c r="M956" s="1666" t="s">
        <v>592</v>
      </c>
      <c r="N956" s="1493"/>
      <c r="O956" s="1493"/>
      <c r="P956" s="1493"/>
      <c r="Q956" s="1493"/>
      <c r="R956" s="1493"/>
      <c r="S956" s="1667"/>
      <c r="U956" s="66" t="s">
        <v>12</v>
      </c>
      <c r="V956" s="5"/>
      <c r="W956" s="5"/>
      <c r="X956" s="5"/>
      <c r="Y956" s="5"/>
      <c r="Z956" s="5"/>
      <c r="AA956" s="5"/>
      <c r="AB956" s="5"/>
      <c r="AC956" s="5"/>
      <c r="AD956" s="46"/>
      <c r="AE956" s="1666" t="s">
        <v>592</v>
      </c>
      <c r="AF956" s="1493"/>
      <c r="AG956" s="1493"/>
      <c r="AH956" s="1493"/>
      <c r="AI956" s="1493"/>
      <c r="AJ956" s="1493"/>
      <c r="AK956" s="1667"/>
      <c r="AZ956" s="34"/>
      <c r="BA956" s="34"/>
      <c r="BB956" s="34"/>
      <c r="BC956" s="34"/>
    </row>
    <row r="957" spans="1:55" ht="13" customHeight="1">
      <c r="C957" s="66" t="s">
        <v>881</v>
      </c>
      <c r="D957" s="5"/>
      <c r="E957" s="5"/>
      <c r="J957" s="1811" t="s">
        <v>307</v>
      </c>
      <c r="K957" s="1812"/>
      <c r="L957" s="1812"/>
      <c r="M957" s="1812"/>
      <c r="N957" s="1812"/>
      <c r="O957" s="1812"/>
      <c r="P957" s="1812"/>
      <c r="Q957" s="1812"/>
      <c r="R957" s="1812"/>
      <c r="S957" s="1813"/>
      <c r="U957" s="66" t="s">
        <v>881</v>
      </c>
      <c r="V957" s="5"/>
      <c r="W957" s="5"/>
      <c r="AB957" s="1811" t="s">
        <v>307</v>
      </c>
      <c r="AC957" s="1812"/>
      <c r="AD957" s="1812"/>
      <c r="AE957" s="1812"/>
      <c r="AF957" s="1812"/>
      <c r="AG957" s="1812"/>
      <c r="AH957" s="1812"/>
      <c r="AI957" s="1812"/>
      <c r="AJ957" s="1812"/>
      <c r="AK957" s="1813"/>
      <c r="AZ957" s="34"/>
      <c r="BA957" s="34"/>
      <c r="BB957" s="34"/>
      <c r="BC957" s="34"/>
    </row>
    <row r="958" spans="1:55" ht="13" customHeight="1">
      <c r="C958" s="66" t="s">
        <v>13</v>
      </c>
      <c r="D958" s="5"/>
      <c r="E958" s="5"/>
      <c r="F958" s="5"/>
      <c r="G958" s="5"/>
      <c r="H958" s="5"/>
      <c r="I958" s="5"/>
      <c r="J958" s="5"/>
      <c r="K958" s="5"/>
      <c r="L958" s="46"/>
      <c r="M958" s="1708" t="s">
        <v>592</v>
      </c>
      <c r="N958" s="1709"/>
      <c r="O958" s="1709"/>
      <c r="P958" s="1709"/>
      <c r="Q958" s="1709"/>
      <c r="R958" s="1709"/>
      <c r="S958" s="1710"/>
      <c r="U958" s="66" t="s">
        <v>13</v>
      </c>
      <c r="V958" s="5"/>
      <c r="W958" s="5"/>
      <c r="X958" s="5"/>
      <c r="Y958" s="5"/>
      <c r="Z958" s="5"/>
      <c r="AA958" s="5"/>
      <c r="AB958" s="5"/>
      <c r="AC958" s="5"/>
      <c r="AD958" s="46"/>
      <c r="AE958" s="1782" t="s">
        <v>592</v>
      </c>
      <c r="AF958" s="1709"/>
      <c r="AG958" s="1709"/>
      <c r="AH958" s="1709"/>
      <c r="AI958" s="1709"/>
      <c r="AJ958" s="1709"/>
      <c r="AK958" s="1710"/>
      <c r="AZ958" s="34"/>
      <c r="BA958" s="34"/>
      <c r="BB958" s="34"/>
      <c r="BC958" s="34"/>
    </row>
    <row r="959" spans="1:55" ht="13" customHeight="1">
      <c r="C959" s="66" t="s">
        <v>14</v>
      </c>
      <c r="D959" s="5"/>
      <c r="E959" s="5"/>
      <c r="F959" s="5"/>
      <c r="G959" s="5"/>
      <c r="H959" s="5"/>
      <c r="I959" s="5"/>
      <c r="J959" s="5"/>
      <c r="K959" s="5"/>
      <c r="L959" s="46"/>
      <c r="M959" s="1728" t="s">
        <v>592</v>
      </c>
      <c r="N959" s="1612"/>
      <c r="O959" s="1612"/>
      <c r="P959" s="1612"/>
      <c r="Q959" s="1612"/>
      <c r="R959" s="1612"/>
      <c r="S959" s="1613"/>
      <c r="U959" s="66" t="s">
        <v>14</v>
      </c>
      <c r="V959" s="5"/>
      <c r="W959" s="5"/>
      <c r="X959" s="5"/>
      <c r="Y959" s="5"/>
      <c r="Z959" s="5"/>
      <c r="AA959" s="5"/>
      <c r="AB959" s="5"/>
      <c r="AC959" s="5"/>
      <c r="AD959" s="46"/>
      <c r="AE959" s="1728" t="s">
        <v>592</v>
      </c>
      <c r="AF959" s="1612"/>
      <c r="AG959" s="1612"/>
      <c r="AH959" s="1612"/>
      <c r="AI959" s="1612"/>
      <c r="AJ959" s="1612"/>
      <c r="AK959" s="1613"/>
      <c r="AV959" s="2"/>
      <c r="AW959" s="2"/>
      <c r="AX959" s="2"/>
      <c r="AY959" s="2"/>
      <c r="AZ959" s="34"/>
      <c r="BA959" s="34"/>
      <c r="BB959" s="34"/>
      <c r="BC959" s="34"/>
    </row>
    <row r="960" spans="1:55" ht="13" customHeight="1">
      <c r="C960" s="66" t="s">
        <v>15</v>
      </c>
      <c r="D960" s="5"/>
      <c r="E960" s="5"/>
      <c r="F960" s="5"/>
      <c r="G960" s="5"/>
      <c r="H960" s="5"/>
      <c r="I960" s="5"/>
      <c r="J960" s="5"/>
      <c r="K960" s="5"/>
      <c r="L960" s="46"/>
      <c r="M960" s="1637" t="s">
        <v>592</v>
      </c>
      <c r="N960" s="1524"/>
      <c r="O960" s="1524"/>
      <c r="P960" s="1524"/>
      <c r="Q960" s="1524"/>
      <c r="R960" s="1524"/>
      <c r="S960" s="1638"/>
      <c r="U960" s="66" t="s">
        <v>15</v>
      </c>
      <c r="V960" s="5"/>
      <c r="W960" s="5"/>
      <c r="X960" s="5"/>
      <c r="Y960" s="5"/>
      <c r="Z960" s="5"/>
      <c r="AA960" s="5"/>
      <c r="AB960" s="5"/>
      <c r="AC960" s="5"/>
      <c r="AD960" s="46"/>
      <c r="AE960" s="1637" t="s">
        <v>592</v>
      </c>
      <c r="AF960" s="1524"/>
      <c r="AG960" s="1524"/>
      <c r="AH960" s="1524"/>
      <c r="AI960" s="1524"/>
      <c r="AJ960" s="1524"/>
      <c r="AK960" s="1638"/>
      <c r="AV960" s="2"/>
      <c r="AW960" s="2"/>
      <c r="AX960" s="2"/>
      <c r="AY960" s="2"/>
      <c r="AZ960" s="34"/>
      <c r="BA960" s="34"/>
      <c r="BB960" s="34"/>
      <c r="BC960" s="34"/>
    </row>
    <row r="961" spans="1:64" ht="13" customHeight="1">
      <c r="C961" s="66" t="s">
        <v>16</v>
      </c>
      <c r="D961" s="5"/>
      <c r="E961" s="5"/>
      <c r="F961" s="5"/>
      <c r="G961" s="5"/>
      <c r="H961" s="5"/>
      <c r="I961" s="5"/>
      <c r="J961" s="5"/>
      <c r="K961" s="5"/>
      <c r="L961" s="46"/>
      <c r="M961" s="1637" t="s">
        <v>592</v>
      </c>
      <c r="N961" s="1524"/>
      <c r="O961" s="1524"/>
      <c r="P961" s="1524"/>
      <c r="Q961" s="1524"/>
      <c r="R961" s="1524"/>
      <c r="S961" s="1638"/>
      <c r="U961" s="66" t="s">
        <v>16</v>
      </c>
      <c r="V961" s="5"/>
      <c r="W961" s="5"/>
      <c r="X961" s="5"/>
      <c r="Y961" s="5"/>
      <c r="Z961" s="5"/>
      <c r="AA961" s="5"/>
      <c r="AB961" s="5"/>
      <c r="AC961" s="5"/>
      <c r="AD961" s="46"/>
      <c r="AE961" s="1637" t="s">
        <v>592</v>
      </c>
      <c r="AF961" s="1524"/>
      <c r="AG961" s="1524"/>
      <c r="AH961" s="1524"/>
      <c r="AI961" s="1524"/>
      <c r="AJ961" s="1524"/>
      <c r="AK961" s="1638"/>
      <c r="AV961" s="2"/>
      <c r="AW961" s="2"/>
      <c r="AX961" s="2"/>
      <c r="AY961" s="2"/>
      <c r="AZ961" s="34"/>
      <c r="BB961" s="34"/>
      <c r="BC961" s="34"/>
    </row>
    <row r="962" spans="1:64" ht="13" customHeight="1">
      <c r="C962" s="121" t="s">
        <v>1662</v>
      </c>
      <c r="D962" s="5"/>
      <c r="E962" s="5"/>
      <c r="F962" s="5"/>
      <c r="G962" s="5"/>
      <c r="H962" s="5"/>
      <c r="I962" s="5"/>
      <c r="J962" s="5"/>
      <c r="K962" s="5"/>
      <c r="L962" s="46"/>
      <c r="M962" s="1779"/>
      <c r="N962" s="1780"/>
      <c r="O962" s="1780"/>
      <c r="P962" s="1780"/>
      <c r="Q962" s="1780"/>
      <c r="R962" s="1780"/>
      <c r="S962" s="1781"/>
      <c r="U962" s="121" t="s">
        <v>1662</v>
      </c>
      <c r="V962" s="5"/>
      <c r="W962" s="5"/>
      <c r="X962" s="5"/>
      <c r="Y962" s="5"/>
      <c r="Z962" s="5"/>
      <c r="AA962" s="5"/>
      <c r="AB962" s="5"/>
      <c r="AC962" s="5"/>
      <c r="AD962" s="46"/>
      <c r="AE962" s="1779"/>
      <c r="AF962" s="1780"/>
      <c r="AG962" s="1780"/>
      <c r="AH962" s="1780"/>
      <c r="AI962" s="1780"/>
      <c r="AJ962" s="1780"/>
      <c r="AK962" s="1781"/>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572</v>
      </c>
      <c r="G967" s="5"/>
      <c r="H967" s="5"/>
      <c r="I967" s="5"/>
      <c r="J967" s="5"/>
      <c r="K967" s="5"/>
      <c r="L967" s="46"/>
      <c r="M967" s="1663" t="s">
        <v>592</v>
      </c>
      <c r="N967" s="1664"/>
      <c r="O967" s="1664"/>
      <c r="P967" s="1664"/>
      <c r="Q967" s="1664"/>
      <c r="R967" s="1664"/>
      <c r="S967" s="1665"/>
      <c r="T967" s="66" t="s">
        <v>791</v>
      </c>
      <c r="U967" s="5"/>
      <c r="V967" s="5"/>
      <c r="W967" s="5"/>
      <c r="X967" s="5"/>
      <c r="Y967" s="5"/>
      <c r="Z967" s="46"/>
      <c r="AA967" s="1663" t="s">
        <v>592</v>
      </c>
      <c r="AB967" s="1664"/>
      <c r="AC967" s="1664"/>
      <c r="AD967" s="1664"/>
      <c r="AE967" s="1664"/>
      <c r="AF967" s="1664"/>
      <c r="AG967" s="166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573</v>
      </c>
      <c r="G968" s="5"/>
      <c r="H968" s="5"/>
      <c r="I968" s="5"/>
      <c r="J968" s="5"/>
      <c r="K968" s="5"/>
      <c r="L968" s="46"/>
      <c r="M968" s="1663" t="s">
        <v>592</v>
      </c>
      <c r="N968" s="1664"/>
      <c r="O968" s="1664"/>
      <c r="P968" s="1664"/>
      <c r="Q968" s="1664"/>
      <c r="R968" s="1664"/>
      <c r="S968" s="1665"/>
      <c r="T968" s="66" t="s">
        <v>790</v>
      </c>
      <c r="U968" s="5"/>
      <c r="V968" s="5"/>
      <c r="W968" s="5"/>
      <c r="X968" s="5"/>
      <c r="Y968" s="5"/>
      <c r="Z968" s="46"/>
      <c r="AA968" s="1663" t="s">
        <v>592</v>
      </c>
      <c r="AB968" s="1664"/>
      <c r="AC968" s="1664"/>
      <c r="AD968" s="1664"/>
      <c r="AE968" s="1664"/>
      <c r="AF968" s="1664"/>
      <c r="AG968" s="166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902</v>
      </c>
      <c r="G969" s="5"/>
      <c r="H969" s="5"/>
      <c r="I969" s="5"/>
      <c r="J969" s="5"/>
      <c r="K969" s="5"/>
      <c r="L969" s="46"/>
      <c r="M969" s="1711" t="s">
        <v>592</v>
      </c>
      <c r="N969" s="1712"/>
      <c r="O969" s="1712"/>
      <c r="P969" s="1712"/>
      <c r="Q969" s="1712"/>
      <c r="R969" s="1712"/>
      <c r="S969" s="1713"/>
      <c r="T969" s="45" t="s">
        <v>337</v>
      </c>
      <c r="U969" s="5"/>
      <c r="V969" s="5"/>
      <c r="W969" s="5"/>
      <c r="X969" s="5"/>
      <c r="Y969" s="5"/>
      <c r="Z969" s="46"/>
      <c r="AA969" s="1663" t="s">
        <v>592</v>
      </c>
      <c r="AB969" s="1664"/>
      <c r="AC969" s="1664"/>
      <c r="AD969" s="1664"/>
      <c r="AE969" s="1664"/>
      <c r="AF969" s="1664"/>
      <c r="AG969" s="166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574</v>
      </c>
      <c r="G970" s="5"/>
      <c r="H970" s="5"/>
      <c r="I970" s="5"/>
      <c r="J970" s="5"/>
      <c r="K970" s="5"/>
      <c r="L970" s="46"/>
      <c r="M970" s="1663" t="s">
        <v>592</v>
      </c>
      <c r="N970" s="1664"/>
      <c r="O970" s="1664"/>
      <c r="P970" s="1664"/>
      <c r="Q970" s="1664"/>
      <c r="R970" s="1664"/>
      <c r="S970" s="1665"/>
      <c r="T970" s="45" t="s">
        <v>338</v>
      </c>
      <c r="U970" s="5"/>
      <c r="V970" s="5"/>
      <c r="W970" s="5"/>
      <c r="X970" s="5"/>
      <c r="Y970" s="5"/>
      <c r="Z970" s="46"/>
      <c r="AA970" s="1663" t="s">
        <v>592</v>
      </c>
      <c r="AB970" s="1664"/>
      <c r="AC970" s="1664"/>
      <c r="AD970" s="1664"/>
      <c r="AE970" s="1664"/>
      <c r="AF970" s="1664"/>
      <c r="AG970" s="166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465</v>
      </c>
      <c r="G971" s="5"/>
      <c r="H971" s="5"/>
      <c r="I971" s="5"/>
      <c r="J971" s="5"/>
      <c r="K971" s="5"/>
      <c r="L971" s="46"/>
      <c r="M971" s="1663" t="s">
        <v>592</v>
      </c>
      <c r="N971" s="1664"/>
      <c r="O971" s="1664"/>
      <c r="P971" s="1664"/>
      <c r="Q971" s="1664"/>
      <c r="R971" s="1664"/>
      <c r="S971" s="1665"/>
      <c r="T971" s="45" t="s">
        <v>376</v>
      </c>
      <c r="U971" s="5"/>
      <c r="V971" s="5"/>
      <c r="W971" s="5"/>
      <c r="X971" s="5"/>
      <c r="Y971" s="5"/>
      <c r="Z971" s="46"/>
      <c r="AA971" s="1663" t="s">
        <v>592</v>
      </c>
      <c r="AB971" s="1664"/>
      <c r="AC971" s="1664"/>
      <c r="AD971" s="1664"/>
      <c r="AE971" s="1664"/>
      <c r="AF971" s="1664"/>
      <c r="AG971" s="166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881</v>
      </c>
      <c r="G972" s="42"/>
      <c r="H972" s="42"/>
      <c r="I972" s="42"/>
      <c r="J972" s="42"/>
      <c r="K972" s="42"/>
      <c r="L972" s="58"/>
      <c r="M972" s="1811" t="s">
        <v>307</v>
      </c>
      <c r="N972" s="1812"/>
      <c r="O972" s="1812"/>
      <c r="P972" s="1812"/>
      <c r="Q972" s="1812"/>
      <c r="R972" s="1812"/>
      <c r="S972" s="1813"/>
      <c r="T972" s="1766"/>
      <c r="U972" s="1767"/>
      <c r="V972" s="1767"/>
      <c r="W972" s="1767"/>
      <c r="X972" s="1767"/>
      <c r="Y972" s="1767"/>
      <c r="Z972" s="1768"/>
      <c r="AA972" s="1663" t="s">
        <v>592</v>
      </c>
      <c r="AB972" s="1664"/>
      <c r="AC972" s="1664"/>
      <c r="AD972" s="1664"/>
      <c r="AE972" s="1664"/>
      <c r="AF972" s="1664"/>
      <c r="AG972" s="166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466</v>
      </c>
      <c r="G973" s="42"/>
      <c r="H973" s="42"/>
      <c r="I973" s="42"/>
      <c r="J973" s="42"/>
      <c r="K973" s="42"/>
      <c r="L973" s="58"/>
      <c r="M973" s="1663" t="s">
        <v>592</v>
      </c>
      <c r="N973" s="1664"/>
      <c r="O973" s="1664"/>
      <c r="P973" s="1664"/>
      <c r="Q973" s="1664"/>
      <c r="R973" s="1664"/>
      <c r="S973" s="1665"/>
      <c r="T973" s="1766"/>
      <c r="U973" s="1767"/>
      <c r="V973" s="1767"/>
      <c r="W973" s="1767"/>
      <c r="X973" s="1767"/>
      <c r="Y973" s="1767"/>
      <c r="Z973" s="1768"/>
      <c r="AA973" s="1663" t="s">
        <v>592</v>
      </c>
      <c r="AB973" s="1664"/>
      <c r="AC973" s="1664"/>
      <c r="AD973" s="1664"/>
      <c r="AE973" s="1664"/>
      <c r="AF973" s="1664"/>
      <c r="AG973" s="166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336</v>
      </c>
      <c r="G974" s="42"/>
      <c r="H974" s="42"/>
      <c r="I974" s="42"/>
      <c r="J974" s="42"/>
      <c r="K974" s="42"/>
      <c r="L974" s="42"/>
      <c r="M974" s="42"/>
      <c r="N974" s="42"/>
      <c r="O974" s="1373" t="s">
        <v>670</v>
      </c>
      <c r="P974" s="1375"/>
      <c r="Q974" s="92"/>
      <c r="R974" s="92"/>
      <c r="S974" s="93"/>
      <c r="T974" s="41" t="s">
        <v>170</v>
      </c>
      <c r="U974" s="42"/>
      <c r="V974" s="42"/>
      <c r="W974" s="1814" t="s">
        <v>592</v>
      </c>
      <c r="X974" s="1815"/>
      <c r="Y974" s="1815"/>
      <c r="Z974" s="1815"/>
      <c r="AA974" s="1815"/>
      <c r="AB974" s="1815"/>
      <c r="AC974" s="1815"/>
      <c r="AD974" s="1815"/>
      <c r="AE974" s="1815"/>
      <c r="AF974" s="1815"/>
      <c r="AG974" s="1816"/>
      <c r="AU974" s="68"/>
      <c r="AV974" s="95"/>
      <c r="AW974" s="95"/>
      <c r="AX974" s="95"/>
      <c r="AY974" s="95"/>
      <c r="AZ974" s="34"/>
      <c r="BB974" s="34"/>
      <c r="BC974" s="34"/>
      <c r="BD974" s="34"/>
      <c r="BE974" s="34"/>
      <c r="BF974" s="34"/>
      <c r="BG974" s="34"/>
      <c r="BH974" s="34"/>
      <c r="BI974" s="34"/>
      <c r="BJ974" s="34"/>
      <c r="BK974" s="34"/>
      <c r="BL974" s="34"/>
    </row>
    <row r="975" spans="1:64" ht="13" customHeight="1">
      <c r="F975" s="1607" t="s">
        <v>33</v>
      </c>
      <c r="G975" s="1486"/>
      <c r="H975" s="1486"/>
      <c r="I975" s="1486"/>
      <c r="J975" s="1486"/>
      <c r="K975" s="1486"/>
      <c r="L975" s="1486"/>
      <c r="M975" s="1663" t="s">
        <v>592</v>
      </c>
      <c r="N975" s="1664"/>
      <c r="O975" s="1664"/>
      <c r="P975" s="1664"/>
      <c r="Q975" s="1664"/>
      <c r="R975" s="1664"/>
      <c r="S975" s="1665"/>
      <c r="T975" s="47"/>
      <c r="U975" s="48"/>
      <c r="V975" s="48"/>
      <c r="W975" s="48"/>
      <c r="X975" s="48"/>
      <c r="Y975" s="48"/>
      <c r="Z975" s="124" t="s">
        <v>134</v>
      </c>
      <c r="AA975" s="1763" t="s">
        <v>592</v>
      </c>
      <c r="AB975" s="1764"/>
      <c r="AC975" s="1764"/>
      <c r="AD975" s="1764"/>
      <c r="AE975" s="1764"/>
      <c r="AF975" s="1764"/>
      <c r="AG975" s="1765"/>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39"/>
      <c r="BH976" s="1639"/>
      <c r="BI976" s="1639"/>
      <c r="BJ976" s="1639"/>
      <c r="BK976" s="1639"/>
      <c r="BL976" s="163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5" t="s">
        <v>549</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3"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3"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4" t="s">
        <v>639</v>
      </c>
      <c r="E985" s="1795"/>
      <c r="F985" s="1795"/>
      <c r="G985" s="1795"/>
      <c r="H985" s="1795"/>
      <c r="I985" s="1795"/>
      <c r="J985" s="1795"/>
      <c r="K985" s="1795"/>
      <c r="L985" s="1795"/>
      <c r="M985" s="1795"/>
      <c r="N985" s="1795"/>
      <c r="O985" s="1795"/>
      <c r="P985" s="1795"/>
      <c r="Q985" s="1796"/>
      <c r="R985" s="1794" t="s">
        <v>640</v>
      </c>
      <c r="S985" s="1795"/>
      <c r="T985" s="1795"/>
      <c r="U985" s="1795"/>
      <c r="V985" s="1795"/>
      <c r="W985" s="1795"/>
      <c r="X985" s="1795"/>
      <c r="Y985" s="1795"/>
      <c r="Z985" s="1795"/>
      <c r="AA985" s="1796"/>
      <c r="AB985" s="1794" t="s">
        <v>641</v>
      </c>
      <c r="AC985" s="1795"/>
      <c r="AD985" s="1795"/>
      <c r="AE985" s="1795"/>
      <c r="AF985" s="1795"/>
      <c r="AG985" s="1795"/>
      <c r="AH985" s="1795"/>
      <c r="AI985" s="1796"/>
      <c r="AJ985" s="1794" t="s">
        <v>642</v>
      </c>
      <c r="AK985" s="1795"/>
      <c r="AL985" s="1795"/>
      <c r="AM985" s="1795"/>
      <c r="AN985" s="1795"/>
      <c r="AO985" s="1795"/>
      <c r="AP985" s="1795"/>
      <c r="AQ985" s="1796"/>
      <c r="AR985" s="68"/>
      <c r="AS985" s="68"/>
      <c r="AT985" s="68"/>
      <c r="AU985" s="68"/>
      <c r="AV985" s="68"/>
      <c r="AW985" s="68"/>
      <c r="AX985" s="68"/>
      <c r="AY985" s="68"/>
      <c r="AZ985" s="30"/>
      <c r="BB985" s="14"/>
      <c r="BC985" s="14"/>
    </row>
    <row r="986" spans="1:64" ht="13" customHeight="1">
      <c r="A986" s="14"/>
      <c r="B986" s="73"/>
      <c r="C986" s="929"/>
      <c r="D986" s="1800" t="s">
        <v>634</v>
      </c>
      <c r="E986" s="1801"/>
      <c r="F986" s="1801"/>
      <c r="G986" s="1801"/>
      <c r="H986" s="1801"/>
      <c r="I986" s="1801"/>
      <c r="J986" s="1801"/>
      <c r="K986" s="1801"/>
      <c r="L986" s="1801"/>
      <c r="M986" s="1801"/>
      <c r="N986" s="1801"/>
      <c r="O986" s="1801"/>
      <c r="P986" s="1801"/>
      <c r="Q986" s="1802"/>
      <c r="R986" s="1787">
        <f>IF(ISNA(IF($CU$122="4%",(INDEX($CS$160:$CW$217,MATCH($DG$122,$CR$160:$CR$217,0),MATCH(D986,$CS$159:$CW$159,0))),(INDEX($CZ$160:$DD$217,MATCH($DG$122,$CY$160:$CY$217,0),MATCH(D986,$CZ$159:$DD$159,0))))),0,IF($CU$122="4%",(INDEX($CS$160:$CW$217,MATCH($DG$122,$CR$160:$CR$217,0),MATCH(D986,$CS$159:$CW$159,0))),(INDEX($CZ$160:$DD$217,MATCH($DG$122,$CY$160:$CY$217,0),MATCH(D986,$CZ$159:$DD$159,0)))))</f>
        <v>353173</v>
      </c>
      <c r="S986" s="1787"/>
      <c r="T986" s="1787"/>
      <c r="U986" s="1787"/>
      <c r="V986" s="1787"/>
      <c r="W986" s="1787"/>
      <c r="X986" s="1787"/>
      <c r="Y986" s="1787"/>
      <c r="Z986" s="1787"/>
      <c r="AA986" s="1787"/>
      <c r="AB986" s="1784">
        <f>CP802</f>
        <v>0</v>
      </c>
      <c r="AC986" s="1785"/>
      <c r="AD986" s="1785"/>
      <c r="AE986" s="1785"/>
      <c r="AF986" s="1785"/>
      <c r="AG986" s="1785"/>
      <c r="AH986" s="1785"/>
      <c r="AI986" s="1786"/>
      <c r="AJ986" s="1720">
        <f>IF(ISERROR((R986*AB986)),0,(R986*AB986))</f>
        <v>0</v>
      </c>
      <c r="AK986" s="1721"/>
      <c r="AL986" s="1721"/>
      <c r="AM986" s="1721"/>
      <c r="AN986" s="1721"/>
      <c r="AO986" s="1721"/>
      <c r="AP986" s="1721"/>
      <c r="AQ986" s="1722"/>
      <c r="AR986" s="68"/>
      <c r="AS986" s="68"/>
      <c r="AT986" s="68"/>
      <c r="AU986" s="68"/>
      <c r="AV986" s="68"/>
      <c r="AW986" s="68"/>
      <c r="AX986" s="68"/>
      <c r="AY986" s="68"/>
      <c r="AZ986" s="30"/>
      <c r="BB986" s="14"/>
      <c r="BC986" s="14"/>
    </row>
    <row r="987" spans="1:64" ht="13" customHeight="1">
      <c r="A987" s="14"/>
      <c r="B987" s="73"/>
      <c r="C987" s="83"/>
      <c r="D987" s="1800" t="s">
        <v>325</v>
      </c>
      <c r="E987" s="1801"/>
      <c r="F987" s="1801"/>
      <c r="G987" s="1801"/>
      <c r="H987" s="1801"/>
      <c r="I987" s="1801"/>
      <c r="J987" s="1801"/>
      <c r="K987" s="1801"/>
      <c r="L987" s="1801"/>
      <c r="M987" s="1801"/>
      <c r="N987" s="1801"/>
      <c r="O987" s="1801"/>
      <c r="P987" s="1801"/>
      <c r="Q987" s="1802"/>
      <c r="R987" s="1787">
        <f>IF(ISNA(IF($CU$122="4%",(INDEX($CS$160:$CW$217,MATCH($DG$122,$CR$160:$CR$217,0),MATCH(D987,$CS$159:$CW$159,0))),(INDEX($CZ$160:$DD$217,MATCH($DG$122,$CY$160:$CY$217,0),MATCH(D987,$CZ$159:$DD$159,0))))),0,IF($CU$122="4%",(INDEX($CS$160:$CW$217,MATCH($DG$122,$CR$160:$CR$217,0),MATCH(D987,$CS$159:$CW$159,0))),(INDEX($CZ$160:$DD$217,MATCH($DG$122,$CY$160:$CY$217,0),MATCH(D987,$CZ$159:$DD$159,0)))))</f>
        <v>407205</v>
      </c>
      <c r="S987" s="1787"/>
      <c r="T987" s="1787"/>
      <c r="U987" s="1787"/>
      <c r="V987" s="1787"/>
      <c r="W987" s="1787"/>
      <c r="X987" s="1787"/>
      <c r="Y987" s="1787"/>
      <c r="Z987" s="1787"/>
      <c r="AA987" s="1787"/>
      <c r="AB987" s="1784">
        <f>CU802</f>
        <v>43</v>
      </c>
      <c r="AC987" s="1785"/>
      <c r="AD987" s="1785"/>
      <c r="AE987" s="1785"/>
      <c r="AF987" s="1785"/>
      <c r="AG987" s="1785"/>
      <c r="AH987" s="1785"/>
      <c r="AI987" s="1786"/>
      <c r="AJ987" s="1720">
        <f>IF(ISERROR((R987*AB987)),0,(R987*AB987))</f>
        <v>17509815</v>
      </c>
      <c r="AK987" s="1721"/>
      <c r="AL987" s="1721"/>
      <c r="AM987" s="1721"/>
      <c r="AN987" s="1721"/>
      <c r="AO987" s="1721"/>
      <c r="AP987" s="1721"/>
      <c r="AQ987" s="1722"/>
      <c r="AR987" s="68"/>
      <c r="AS987" s="68"/>
      <c r="AT987" s="68"/>
      <c r="AU987" s="68"/>
      <c r="AV987" s="68"/>
      <c r="AW987" s="68"/>
      <c r="AX987" s="68"/>
      <c r="AY987" s="68"/>
      <c r="AZ987" s="30"/>
      <c r="BB987" s="14"/>
      <c r="BC987" s="14"/>
    </row>
    <row r="988" spans="1:64" ht="13" customHeight="1">
      <c r="A988" s="14"/>
      <c r="B988" s="73"/>
      <c r="C988" s="83"/>
      <c r="D988" s="1800" t="s">
        <v>163</v>
      </c>
      <c r="E988" s="1801"/>
      <c r="F988" s="1801"/>
      <c r="G988" s="1801"/>
      <c r="H988" s="1801"/>
      <c r="I988" s="1801"/>
      <c r="J988" s="1801"/>
      <c r="K988" s="1801"/>
      <c r="L988" s="1801"/>
      <c r="M988" s="1801"/>
      <c r="N988" s="1801"/>
      <c r="O988" s="1801"/>
      <c r="P988" s="1801"/>
      <c r="Q988" s="1802"/>
      <c r="R988" s="1787">
        <f>IF(ISNA(IF($CU$122="4%",(INDEX($CS$160:$CW$217,MATCH($DG$122,$CR$160:$CR$217,0),MATCH(D988,$CS$159:$CW$159,0))),(INDEX($CZ$160:$DD$217,MATCH($DG$122,$CY$160:$CY$217,0),MATCH(D988,$CZ$159:$DD$159,0))))),0,IF($CU$122="4%",(INDEX($CS$160:$CW$217,MATCH($DG$122,$CR$160:$CR$217,0),MATCH(D988,$CS$159:$CW$159,0))),(INDEX($CZ$160:$DD$217,MATCH($DG$122,$CY$160:$CY$217,0),MATCH(D988,$CZ$159:$DD$159,0)))))</f>
        <v>491200</v>
      </c>
      <c r="S988" s="1787"/>
      <c r="T988" s="1787"/>
      <c r="U988" s="1787"/>
      <c r="V988" s="1787"/>
      <c r="W988" s="1787"/>
      <c r="X988" s="1787"/>
      <c r="Y988" s="1787"/>
      <c r="Z988" s="1787"/>
      <c r="AA988" s="1787"/>
      <c r="AB988" s="1784">
        <f>CZ802</f>
        <v>24</v>
      </c>
      <c r="AC988" s="1785"/>
      <c r="AD988" s="1785"/>
      <c r="AE988" s="1785"/>
      <c r="AF988" s="1785"/>
      <c r="AG988" s="1785"/>
      <c r="AH988" s="1785"/>
      <c r="AI988" s="1786"/>
      <c r="AJ988" s="1720">
        <f>IF(ISERROR((R988*AB988)),0,(R988*AB988))</f>
        <v>11788800</v>
      </c>
      <c r="AK988" s="1721"/>
      <c r="AL988" s="1721"/>
      <c r="AM988" s="1721"/>
      <c r="AN988" s="1721"/>
      <c r="AO988" s="1721"/>
      <c r="AP988" s="1721"/>
      <c r="AQ988" s="1722"/>
      <c r="AR988" s="68"/>
      <c r="AS988" s="68"/>
      <c r="AT988" s="68"/>
      <c r="AU988" s="68"/>
      <c r="AV988" s="68"/>
      <c r="AW988" s="68"/>
      <c r="AX988" s="68"/>
      <c r="AY988" s="68"/>
      <c r="AZ988" s="30"/>
      <c r="BB988" s="14"/>
      <c r="BC988" s="14"/>
    </row>
    <row r="989" spans="1:64" ht="13" customHeight="1">
      <c r="A989" s="14"/>
      <c r="B989" s="73"/>
      <c r="C989" s="83"/>
      <c r="D989" s="1800" t="s">
        <v>164</v>
      </c>
      <c r="E989" s="1801"/>
      <c r="F989" s="1801"/>
      <c r="G989" s="1801"/>
      <c r="H989" s="1801"/>
      <c r="I989" s="1801"/>
      <c r="J989" s="1801"/>
      <c r="K989" s="1801"/>
      <c r="L989" s="1801"/>
      <c r="M989" s="1801"/>
      <c r="N989" s="1801"/>
      <c r="O989" s="1801"/>
      <c r="P989" s="1801"/>
      <c r="Q989" s="1802"/>
      <c r="R989" s="1787">
        <f>IF(ISNA(IF($CU$122="4%",(INDEX($CS$160:$CW$217,MATCH($DG$122,$CR$160:$CR$217,0),MATCH(D989,$CS$159:$CW$159,0))),(INDEX($CZ$160:$DD$217,MATCH($DG$122,$CY$160:$CY$217,0),MATCH(D989,$CZ$159:$DD$159,0))))),0,IF($CU$122="4%",(INDEX($CS$160:$CW$217,MATCH($DG$122,$CR$160:$CR$217,0),MATCH(D989,$CS$159:$CW$159,0))),(INDEX($CZ$160:$DD$217,MATCH($DG$122,$CY$160:$CY$217,0),MATCH(D989,$CZ$159:$DD$159,0)))))</f>
        <v>628736</v>
      </c>
      <c r="S989" s="1787"/>
      <c r="T989" s="1787"/>
      <c r="U989" s="1787"/>
      <c r="V989" s="1787"/>
      <c r="W989" s="1787"/>
      <c r="X989" s="1787"/>
      <c r="Y989" s="1787"/>
      <c r="Z989" s="1787"/>
      <c r="AA989" s="1787"/>
      <c r="AB989" s="1784">
        <f>DE802</f>
        <v>23</v>
      </c>
      <c r="AC989" s="1785"/>
      <c r="AD989" s="1785"/>
      <c r="AE989" s="1785"/>
      <c r="AF989" s="1785"/>
      <c r="AG989" s="1785"/>
      <c r="AH989" s="1785"/>
      <c r="AI989" s="1786"/>
      <c r="AJ989" s="1720">
        <f>IF(ISERROR((R989*AB989)),0,(R989*AB989))</f>
        <v>14460928</v>
      </c>
      <c r="AK989" s="1721"/>
      <c r="AL989" s="1721"/>
      <c r="AM989" s="1721"/>
      <c r="AN989" s="1721"/>
      <c r="AO989" s="1721"/>
      <c r="AP989" s="1721"/>
      <c r="AQ989" s="1722"/>
      <c r="AR989" s="68"/>
      <c r="AS989" s="68"/>
      <c r="AT989" s="68"/>
      <c r="AU989" s="68"/>
      <c r="AV989" s="68"/>
      <c r="AW989" s="68"/>
      <c r="AX989" s="68"/>
      <c r="AY989" s="68"/>
      <c r="AZ989" s="30"/>
      <c r="BA989" s="34"/>
      <c r="BB989" s="14"/>
      <c r="BC989" s="14"/>
    </row>
    <row r="990" spans="1:64" ht="13" customHeight="1">
      <c r="A990" s="14"/>
      <c r="B990" s="47"/>
      <c r="C990" s="78"/>
      <c r="D990" s="1800" t="s">
        <v>461</v>
      </c>
      <c r="E990" s="1801"/>
      <c r="F990" s="1801"/>
      <c r="G990" s="1801"/>
      <c r="H990" s="1801"/>
      <c r="I990" s="1801"/>
      <c r="J990" s="1801"/>
      <c r="K990" s="1801"/>
      <c r="L990" s="1801"/>
      <c r="M990" s="1801"/>
      <c r="N990" s="1801"/>
      <c r="O990" s="1801"/>
      <c r="P990" s="1801"/>
      <c r="Q990" s="1802"/>
      <c r="R990" s="1787">
        <f>IF(ISNA(IF($CU$122="4%",(INDEX($CS$160:$CW$217,MATCH($DG$122,$CR$160:$CR$217,0),MATCH(D990,$CS$159:$CW$159,0))),(INDEX($CZ$160:$DD$217,MATCH($DG$122,$CY$160:$CY$217,0),MATCH(D990,$CZ$159:$DD$159,0))))),0,IF($CU$122="4%",(INDEX($CS$160:$CW$217,MATCH($DG$122,$CR$160:$CR$217,0),MATCH(D990,$CS$159:$CW$159,0))),(INDEX($CZ$160:$DD$217,MATCH($DG$122,$CY$160:$CY$217,0),MATCH(D990,$CZ$159:$DD$159,0)))))</f>
        <v>700451</v>
      </c>
      <c r="S990" s="1787"/>
      <c r="T990" s="1787"/>
      <c r="U990" s="1787"/>
      <c r="V990" s="1787"/>
      <c r="W990" s="1787"/>
      <c r="X990" s="1787"/>
      <c r="Y990" s="1787"/>
      <c r="Z990" s="1787"/>
      <c r="AA990" s="1787"/>
      <c r="AB990" s="1784">
        <f>DO802+DJ802</f>
        <v>0</v>
      </c>
      <c r="AC990" s="1785"/>
      <c r="AD990" s="1785"/>
      <c r="AE990" s="1785"/>
      <c r="AF990" s="1785"/>
      <c r="AG990" s="1785"/>
      <c r="AH990" s="1785"/>
      <c r="AI990" s="1786"/>
      <c r="AJ990" s="1720">
        <f>IF(ISERROR((R990*AB990)),0,(R990*AB990))</f>
        <v>0</v>
      </c>
      <c r="AK990" s="1721"/>
      <c r="AL990" s="1721"/>
      <c r="AM990" s="1721"/>
      <c r="AN990" s="1721"/>
      <c r="AO990" s="1721"/>
      <c r="AP990" s="1721"/>
      <c r="AQ990" s="1722"/>
      <c r="AR990" s="68"/>
      <c r="AS990" s="68"/>
      <c r="AT990" s="68"/>
      <c r="AU990" s="68"/>
      <c r="AV990" s="68"/>
      <c r="AW990" s="68"/>
      <c r="AX990" s="68"/>
      <c r="AY990" s="68"/>
      <c r="AZ990" s="30"/>
      <c r="BB990" s="14"/>
      <c r="BC990" s="14"/>
    </row>
    <row r="991" spans="1:64" ht="13" customHeight="1">
      <c r="A991" s="14"/>
      <c r="B991" s="1741" t="s">
        <v>792</v>
      </c>
      <c r="C991" s="1742"/>
      <c r="D991" s="1742"/>
      <c r="E991" s="1742"/>
      <c r="F991" s="1742"/>
      <c r="G991" s="1742"/>
      <c r="H991" s="1742"/>
      <c r="I991" s="1742"/>
      <c r="J991" s="1742"/>
      <c r="K991" s="1742"/>
      <c r="L991" s="1742"/>
      <c r="M991" s="1742"/>
      <c r="N991" s="1742"/>
      <c r="O991" s="1742"/>
      <c r="P991" s="1742"/>
      <c r="Q991" s="1742"/>
      <c r="R991" s="1742"/>
      <c r="S991" s="1742"/>
      <c r="T991" s="1742"/>
      <c r="U991" s="1742"/>
      <c r="V991" s="1742"/>
      <c r="W991" s="1742"/>
      <c r="X991" s="1742"/>
      <c r="Y991" s="1742"/>
      <c r="Z991" s="1742"/>
      <c r="AA991" s="1743"/>
      <c r="AB991" s="1784">
        <f>SUM(AB986:AI990)</f>
        <v>90</v>
      </c>
      <c r="AC991" s="1785"/>
      <c r="AD991" s="1785"/>
      <c r="AE991" s="1785"/>
      <c r="AF991" s="1785"/>
      <c r="AG991" s="1785"/>
      <c r="AH991" s="1785"/>
      <c r="AI991" s="1786"/>
      <c r="AJ991" s="1720"/>
      <c r="AK991" s="1721"/>
      <c r="AL991" s="1721"/>
      <c r="AM991" s="1721"/>
      <c r="AN991" s="1721"/>
      <c r="AO991" s="1721"/>
      <c r="AP991" s="1721"/>
      <c r="AQ991" s="1722"/>
      <c r="AR991" s="68"/>
      <c r="AS991" s="68"/>
      <c r="AT991" s="68"/>
      <c r="AU991" s="68"/>
      <c r="AV991" s="68"/>
      <c r="AW991" s="68"/>
      <c r="AX991" s="68"/>
      <c r="AY991" s="68"/>
      <c r="AZ991" s="34"/>
      <c r="BA991" s="34"/>
      <c r="BB991" s="14"/>
      <c r="BC991" s="14"/>
    </row>
    <row r="992" spans="1:64" ht="13" customHeight="1">
      <c r="A992" s="14"/>
      <c r="B992" s="1797" t="s">
        <v>513</v>
      </c>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8"/>
      <c r="AF992" s="1798"/>
      <c r="AG992" s="1798"/>
      <c r="AH992" s="1798"/>
      <c r="AI992" s="1799"/>
      <c r="AJ992" s="1720">
        <f>SUM(AJ986:AQ990)</f>
        <v>43759543</v>
      </c>
      <c r="AK992" s="1721"/>
      <c r="AL992" s="1721"/>
      <c r="AM992" s="1721"/>
      <c r="AN992" s="1721"/>
      <c r="AO992" s="1721"/>
      <c r="AP992" s="1721"/>
      <c r="AQ992" s="1722"/>
      <c r="AR992" s="68"/>
      <c r="AS992" s="68"/>
      <c r="AT992" s="68"/>
      <c r="AU992" s="68"/>
      <c r="AV992" s="68"/>
      <c r="AW992" s="68"/>
      <c r="AX992" s="68"/>
      <c r="AY992" s="68"/>
      <c r="AZ992" s="34"/>
      <c r="BB992" s="34"/>
      <c r="BC992" s="34"/>
    </row>
    <row r="993" spans="1:55" ht="13" customHeight="1">
      <c r="A993" s="14"/>
      <c r="B993" s="1750"/>
      <c r="C993" s="1751"/>
      <c r="D993" s="1751"/>
      <c r="E993" s="1751"/>
      <c r="F993" s="1751"/>
      <c r="G993" s="1751"/>
      <c r="H993" s="1751"/>
      <c r="I993" s="1751"/>
      <c r="J993" s="1751"/>
      <c r="K993" s="1751"/>
      <c r="L993" s="1751"/>
      <c r="M993" s="1751"/>
      <c r="N993" s="1751"/>
      <c r="O993" s="1751"/>
      <c r="P993" s="1751"/>
      <c r="Q993" s="1751"/>
      <c r="R993" s="1751"/>
      <c r="S993" s="1751"/>
      <c r="T993" s="1751"/>
      <c r="U993" s="1751"/>
      <c r="V993" s="1751"/>
      <c r="W993" s="1751"/>
      <c r="X993" s="1751"/>
      <c r="Y993" s="1751"/>
      <c r="Z993" s="1751"/>
      <c r="AA993" s="1751"/>
      <c r="AB993" s="1751"/>
      <c r="AC993" s="1751"/>
      <c r="AD993" s="1751"/>
      <c r="AE993" s="1752"/>
      <c r="AF993" s="1829" t="s">
        <v>667</v>
      </c>
      <c r="AG993" s="1830"/>
      <c r="AH993" s="1830"/>
      <c r="AI993" s="1831"/>
      <c r="AJ993" s="1750"/>
      <c r="AK993" s="1751"/>
      <c r="AL993" s="1751"/>
      <c r="AM993" s="1751"/>
      <c r="AN993" s="1751"/>
      <c r="AO993" s="1751"/>
      <c r="AP993" s="1751"/>
      <c r="AQ993" s="1752"/>
      <c r="AR993" s="68"/>
      <c r="AS993" s="68"/>
      <c r="AT993" s="68"/>
      <c r="AU993" s="68"/>
      <c r="AV993" s="68"/>
      <c r="AW993" s="68"/>
      <c r="AX993" s="68"/>
      <c r="AY993" s="68"/>
      <c r="AZ993" s="34"/>
      <c r="BA993" s="34"/>
      <c r="BB993" s="34"/>
      <c r="BC993" s="34"/>
    </row>
    <row r="994" spans="1:55" ht="13" customHeight="1">
      <c r="A994" s="14"/>
      <c r="B994" s="73"/>
      <c r="C994" s="927" t="s">
        <v>669</v>
      </c>
      <c r="D994" s="1738" t="s">
        <v>1221</v>
      </c>
      <c r="E994" s="1739"/>
      <c r="F994" s="1739"/>
      <c r="G994" s="1739"/>
      <c r="H994" s="1739"/>
      <c r="I994" s="1739"/>
      <c r="J994" s="1739"/>
      <c r="K994" s="1739"/>
      <c r="L994" s="1739"/>
      <c r="M994" s="1739"/>
      <c r="N994" s="1739"/>
      <c r="O994" s="1739"/>
      <c r="P994" s="1739"/>
      <c r="Q994" s="1739"/>
      <c r="R994" s="1739"/>
      <c r="S994" s="1739"/>
      <c r="T994" s="1739"/>
      <c r="U994" s="1739"/>
      <c r="V994" s="1739"/>
      <c r="W994" s="1739"/>
      <c r="X994" s="1739"/>
      <c r="Y994" s="1739"/>
      <c r="Z994" s="1739"/>
      <c r="AA994" s="1739"/>
      <c r="AB994" s="1739"/>
      <c r="AC994" s="1739"/>
      <c r="AD994" s="1739"/>
      <c r="AE994" s="1740"/>
      <c r="AF994" s="79"/>
      <c r="AG994" s="1832" t="s">
        <v>670</v>
      </c>
      <c r="AH994" s="1833"/>
      <c r="AI994" s="87"/>
      <c r="AJ994" s="1729">
        <f>ROUND(IF(AND(AG994="yes",D1000&gt;0),AJ992*0.2,0),0)</f>
        <v>0</v>
      </c>
      <c r="AK994" s="1730"/>
      <c r="AL994" s="1730"/>
      <c r="AM994" s="1730"/>
      <c r="AN994" s="1730"/>
      <c r="AO994" s="1730"/>
      <c r="AP994" s="1730"/>
      <c r="AQ994" s="1731"/>
      <c r="AR994" s="68"/>
      <c r="AS994" s="68"/>
      <c r="AT994" s="68"/>
      <c r="AU994" s="68"/>
      <c r="AV994" s="68"/>
      <c r="AW994" s="68"/>
      <c r="AX994" s="68"/>
      <c r="AY994" s="68"/>
      <c r="AZ994" s="34"/>
      <c r="BA994" s="34"/>
      <c r="BB994" s="34"/>
      <c r="BC994" s="34"/>
    </row>
    <row r="995" spans="1:55" ht="13" customHeight="1">
      <c r="A995" s="14"/>
      <c r="B995" s="257"/>
      <c r="C995" s="256"/>
      <c r="D995" s="1772" t="s">
        <v>2237</v>
      </c>
      <c r="E995" s="1773"/>
      <c r="F995" s="1773"/>
      <c r="G995" s="1773"/>
      <c r="H995" s="1773"/>
      <c r="I995" s="1773"/>
      <c r="J995" s="1773"/>
      <c r="K995" s="1773"/>
      <c r="L995" s="1773"/>
      <c r="M995" s="1773"/>
      <c r="N995" s="1773"/>
      <c r="O995" s="1773"/>
      <c r="P995" s="1773"/>
      <c r="Q995" s="1773"/>
      <c r="R995" s="1773"/>
      <c r="S995" s="1773"/>
      <c r="T995" s="1773"/>
      <c r="U995" s="1773"/>
      <c r="V995" s="1773"/>
      <c r="W995" s="1773"/>
      <c r="X995" s="1773"/>
      <c r="Y995" s="1773"/>
      <c r="Z995" s="1773"/>
      <c r="AA995" s="1773"/>
      <c r="AB995" s="1773"/>
      <c r="AC995" s="1773"/>
      <c r="AD995" s="1773"/>
      <c r="AE995" s="1774"/>
      <c r="AF995" s="73"/>
      <c r="AG995" s="14"/>
      <c r="AH995" s="14"/>
      <c r="AI995" s="83"/>
      <c r="AJ995" s="1732"/>
      <c r="AK995" s="1733"/>
      <c r="AL995" s="1733"/>
      <c r="AM995" s="1733"/>
      <c r="AN995" s="1733"/>
      <c r="AO995" s="1733"/>
      <c r="AP995" s="1733"/>
      <c r="AQ995" s="1734"/>
      <c r="AR995" s="68"/>
      <c r="AS995" s="68"/>
      <c r="AT995" s="68"/>
      <c r="AU995" s="68"/>
      <c r="AV995" s="68"/>
      <c r="AW995" s="68"/>
      <c r="AX995" s="68"/>
      <c r="AY995" s="68"/>
      <c r="AZ995" s="34"/>
      <c r="BA995" s="34"/>
      <c r="BB995" s="34"/>
      <c r="BC995" s="34"/>
    </row>
    <row r="996" spans="1:55" ht="13" customHeight="1">
      <c r="A996" s="14"/>
      <c r="B996" s="257"/>
      <c r="C996" s="256"/>
      <c r="D996" s="1772"/>
      <c r="E996" s="1773"/>
      <c r="F996" s="1773"/>
      <c r="G996" s="1773"/>
      <c r="H996" s="1773"/>
      <c r="I996" s="1773"/>
      <c r="J996" s="1773"/>
      <c r="K996" s="1773"/>
      <c r="L996" s="1773"/>
      <c r="M996" s="1773"/>
      <c r="N996" s="1773"/>
      <c r="O996" s="1773"/>
      <c r="P996" s="1773"/>
      <c r="Q996" s="1773"/>
      <c r="R996" s="1773"/>
      <c r="S996" s="1773"/>
      <c r="T996" s="1773"/>
      <c r="U996" s="1773"/>
      <c r="V996" s="1773"/>
      <c r="W996" s="1773"/>
      <c r="X996" s="1773"/>
      <c r="Y996" s="1773"/>
      <c r="Z996" s="1773"/>
      <c r="AA996" s="1773"/>
      <c r="AB996" s="1773"/>
      <c r="AC996" s="1773"/>
      <c r="AD996" s="1773"/>
      <c r="AE996" s="1774"/>
      <c r="AF996" s="73"/>
      <c r="AG996" s="14"/>
      <c r="AH996" s="14"/>
      <c r="AI996" s="83"/>
      <c r="AJ996" s="1732"/>
      <c r="AK996" s="1733"/>
      <c r="AL996" s="1733"/>
      <c r="AM996" s="1733"/>
      <c r="AN996" s="1733"/>
      <c r="AO996" s="1733"/>
      <c r="AP996" s="1733"/>
      <c r="AQ996" s="1734"/>
      <c r="AR996" s="68"/>
      <c r="AS996" s="68"/>
      <c r="AT996" s="68"/>
      <c r="AU996" s="68"/>
      <c r="AV996" s="68"/>
      <c r="AW996" s="68"/>
      <c r="AX996" s="68"/>
      <c r="AY996" s="68"/>
      <c r="AZ996" s="34"/>
      <c r="BA996" s="34"/>
      <c r="BB996" s="34"/>
      <c r="BC996" s="34"/>
    </row>
    <row r="997" spans="1:55" ht="13" customHeight="1">
      <c r="A997" s="14"/>
      <c r="B997" s="257"/>
      <c r="C997" s="256"/>
      <c r="D997" s="1772"/>
      <c r="E997" s="1773"/>
      <c r="F997" s="1773"/>
      <c r="G997" s="1773"/>
      <c r="H997" s="1773"/>
      <c r="I997" s="1773"/>
      <c r="J997" s="1773"/>
      <c r="K997" s="1773"/>
      <c r="L997" s="1773"/>
      <c r="M997" s="1773"/>
      <c r="N997" s="1773"/>
      <c r="O997" s="1773"/>
      <c r="P997" s="1773"/>
      <c r="Q997" s="1773"/>
      <c r="R997" s="1773"/>
      <c r="S997" s="1773"/>
      <c r="T997" s="1773"/>
      <c r="U997" s="1773"/>
      <c r="V997" s="1773"/>
      <c r="W997" s="1773"/>
      <c r="X997" s="1773"/>
      <c r="Y997" s="1773"/>
      <c r="Z997" s="1773"/>
      <c r="AA997" s="1773"/>
      <c r="AB997" s="1773"/>
      <c r="AC997" s="1773"/>
      <c r="AD997" s="1773"/>
      <c r="AE997" s="1774"/>
      <c r="AF997" s="73"/>
      <c r="AG997" s="14"/>
      <c r="AH997" s="14"/>
      <c r="AI997" s="83"/>
      <c r="AJ997" s="1732"/>
      <c r="AK997" s="1733"/>
      <c r="AL997" s="1733"/>
      <c r="AM997" s="1733"/>
      <c r="AN997" s="1733"/>
      <c r="AO997" s="1733"/>
      <c r="AP997" s="1733"/>
      <c r="AQ997" s="1734"/>
      <c r="AR997" s="68"/>
      <c r="AS997" s="68"/>
      <c r="AT997" s="68"/>
      <c r="AU997" s="68"/>
      <c r="AV997" s="68"/>
      <c r="AW997" s="68"/>
      <c r="AX997" s="68"/>
      <c r="AY997" s="68"/>
      <c r="AZ997" s="34"/>
      <c r="BA997" s="34"/>
      <c r="BB997" s="34"/>
      <c r="BC997" s="34"/>
    </row>
    <row r="998" spans="1:55" ht="13" customHeight="1">
      <c r="A998" s="14"/>
      <c r="B998" s="257"/>
      <c r="C998" s="256"/>
      <c r="D998" s="1772"/>
      <c r="E998" s="1773"/>
      <c r="F998" s="1773"/>
      <c r="G998" s="1773"/>
      <c r="H998" s="1773"/>
      <c r="I998" s="1773"/>
      <c r="J998" s="1773"/>
      <c r="K998" s="1773"/>
      <c r="L998" s="1773"/>
      <c r="M998" s="1773"/>
      <c r="N998" s="1773"/>
      <c r="O998" s="1773"/>
      <c r="P998" s="1773"/>
      <c r="Q998" s="1773"/>
      <c r="R998" s="1773"/>
      <c r="S998" s="1773"/>
      <c r="T998" s="1773"/>
      <c r="U998" s="1773"/>
      <c r="V998" s="1773"/>
      <c r="W998" s="1773"/>
      <c r="X998" s="1773"/>
      <c r="Y998" s="1773"/>
      <c r="Z998" s="1773"/>
      <c r="AA998" s="1773"/>
      <c r="AB998" s="1773"/>
      <c r="AC998" s="1773"/>
      <c r="AD998" s="1773"/>
      <c r="AE998" s="1774"/>
      <c r="AF998" s="73"/>
      <c r="AG998" s="14"/>
      <c r="AH998" s="14"/>
      <c r="AI998" s="83"/>
      <c r="AJ998" s="1732"/>
      <c r="AK998" s="1733"/>
      <c r="AL998" s="1733"/>
      <c r="AM998" s="1733"/>
      <c r="AN998" s="1733"/>
      <c r="AO998" s="1733"/>
      <c r="AP998" s="1733"/>
      <c r="AQ998" s="1734"/>
      <c r="AR998" s="68"/>
      <c r="AS998" s="68"/>
      <c r="AT998" s="68"/>
      <c r="AU998" s="68"/>
      <c r="AV998" s="68"/>
      <c r="AW998" s="68"/>
      <c r="AX998" s="68"/>
      <c r="AY998" s="68"/>
      <c r="AZ998" s="34"/>
      <c r="BA998" s="34"/>
      <c r="BB998" s="34"/>
      <c r="BC998" s="34"/>
    </row>
    <row r="999" spans="1:55" ht="13" customHeight="1">
      <c r="A999" s="14"/>
      <c r="B999" s="257"/>
      <c r="C999" s="256"/>
      <c r="D999" s="1775" t="s">
        <v>2207</v>
      </c>
      <c r="E999" s="1776"/>
      <c r="F999" s="1776"/>
      <c r="G999" s="1776"/>
      <c r="H999" s="1776"/>
      <c r="I999" s="1776"/>
      <c r="J999" s="1776"/>
      <c r="K999" s="1776"/>
      <c r="L999" s="1776"/>
      <c r="M999" s="1776"/>
      <c r="N999" s="1776"/>
      <c r="O999" s="1776"/>
      <c r="P999" s="1776"/>
      <c r="Q999" s="1776"/>
      <c r="R999" s="1776"/>
      <c r="S999" s="1776"/>
      <c r="T999" s="1776"/>
      <c r="U999" s="1776"/>
      <c r="V999" s="1776"/>
      <c r="W999" s="1776"/>
      <c r="X999" s="1776"/>
      <c r="Y999" s="1776"/>
      <c r="Z999" s="1776"/>
      <c r="AA999" s="1776"/>
      <c r="AB999" s="1776"/>
      <c r="AC999" s="1776"/>
      <c r="AD999" s="1776"/>
      <c r="AE999" s="1777"/>
      <c r="AF999" s="73"/>
      <c r="AG999" s="14"/>
      <c r="AH999" s="14"/>
      <c r="AI999" s="83"/>
      <c r="AJ999" s="1732"/>
      <c r="AK999" s="1733"/>
      <c r="AL999" s="1733"/>
      <c r="AM999" s="1733"/>
      <c r="AN999" s="1733"/>
      <c r="AO999" s="1733"/>
      <c r="AP999" s="1733"/>
      <c r="AQ999" s="1734"/>
      <c r="AR999" s="68"/>
      <c r="AS999" s="68"/>
      <c r="AT999" s="68"/>
      <c r="AU999" s="68"/>
      <c r="AV999" s="68"/>
      <c r="AW999" s="68"/>
      <c r="AX999" s="68"/>
      <c r="AY999" s="68"/>
      <c r="AZ999" s="34"/>
      <c r="BA999" s="34"/>
      <c r="BB999" s="34"/>
      <c r="BC999" s="34"/>
    </row>
    <row r="1000" spans="1:55" ht="13" customHeight="1">
      <c r="A1000" s="14"/>
      <c r="B1000" s="257"/>
      <c r="C1000" s="256"/>
      <c r="D1000" s="1744"/>
      <c r="E1000" s="1745"/>
      <c r="F1000" s="1745"/>
      <c r="G1000" s="1745"/>
      <c r="H1000" s="1745"/>
      <c r="I1000" s="1745"/>
      <c r="J1000" s="1745"/>
      <c r="K1000" s="1745"/>
      <c r="L1000" s="1745"/>
      <c r="M1000" s="1745"/>
      <c r="N1000" s="1745"/>
      <c r="O1000" s="1745"/>
      <c r="P1000" s="1745"/>
      <c r="Q1000" s="1745"/>
      <c r="R1000" s="1745"/>
      <c r="S1000" s="1745"/>
      <c r="T1000" s="1745"/>
      <c r="U1000" s="1745"/>
      <c r="V1000" s="1745"/>
      <c r="W1000" s="1745"/>
      <c r="X1000" s="1745"/>
      <c r="Y1000" s="1745"/>
      <c r="Z1000" s="1745"/>
      <c r="AA1000" s="1745"/>
      <c r="AB1000" s="1745"/>
      <c r="AC1000" s="1745"/>
      <c r="AD1000" s="1745"/>
      <c r="AE1000" s="1746"/>
      <c r="AF1000" s="77"/>
      <c r="AG1000" s="7"/>
      <c r="AH1000" s="7"/>
      <c r="AI1000" s="78"/>
      <c r="AJ1000" s="1735"/>
      <c r="AK1000" s="1736"/>
      <c r="AL1000" s="1736"/>
      <c r="AM1000" s="1736"/>
      <c r="AN1000" s="1736"/>
      <c r="AO1000" s="1736"/>
      <c r="AP1000" s="1736"/>
      <c r="AQ1000" s="1737"/>
      <c r="AR1000" s="68"/>
      <c r="AS1000" s="68"/>
      <c r="AT1000" s="68"/>
      <c r="AU1000" s="68"/>
      <c r="AV1000" s="68"/>
      <c r="AW1000" s="68"/>
      <c r="AX1000" s="68"/>
      <c r="AY1000" s="68"/>
      <c r="AZ1000" s="34"/>
      <c r="BA1000" s="34"/>
      <c r="BB1000" s="34"/>
      <c r="BC1000" s="34"/>
    </row>
    <row r="1001" spans="1:55" ht="13" customHeight="1">
      <c r="A1001" s="14"/>
      <c r="B1001" s="255"/>
      <c r="C1001" s="318"/>
      <c r="D1001" s="1769" t="s">
        <v>1287</v>
      </c>
      <c r="E1001" s="1770"/>
      <c r="F1001" s="1770"/>
      <c r="G1001" s="1770"/>
      <c r="H1001" s="1770"/>
      <c r="I1001" s="1770"/>
      <c r="J1001" s="1770"/>
      <c r="K1001" s="1770"/>
      <c r="L1001" s="1770"/>
      <c r="M1001" s="1770"/>
      <c r="N1001" s="1770"/>
      <c r="O1001" s="1770"/>
      <c r="P1001" s="1770"/>
      <c r="Q1001" s="1770"/>
      <c r="R1001" s="1770"/>
      <c r="S1001" s="1770"/>
      <c r="T1001" s="1770"/>
      <c r="U1001" s="1770"/>
      <c r="V1001" s="1770"/>
      <c r="W1001" s="1770"/>
      <c r="X1001" s="1770"/>
      <c r="Y1001" s="1770"/>
      <c r="Z1001" s="1770"/>
      <c r="AA1001" s="1770"/>
      <c r="AB1001" s="1770"/>
      <c r="AC1001" s="1770"/>
      <c r="AD1001" s="1770"/>
      <c r="AE1001" s="1771"/>
      <c r="AF1001" s="79"/>
      <c r="AG1001" s="1755" t="s">
        <v>670</v>
      </c>
      <c r="AH1001" s="1756"/>
      <c r="AI1001" s="87"/>
      <c r="AJ1001" s="1729">
        <f>ROUND(IF(AG1001="yes",AJ992*0.05,0),0)</f>
        <v>0</v>
      </c>
      <c r="AK1001" s="1730"/>
      <c r="AL1001" s="1730"/>
      <c r="AM1001" s="1730"/>
      <c r="AN1001" s="1730"/>
      <c r="AO1001" s="1730"/>
      <c r="AP1001" s="1730"/>
      <c r="AQ1001" s="1731"/>
      <c r="AR1001" s="68"/>
      <c r="AS1001" s="68"/>
      <c r="AT1001" s="68"/>
      <c r="AU1001" s="68"/>
      <c r="AV1001" s="68"/>
      <c r="AW1001" s="68"/>
      <c r="AX1001" s="68"/>
      <c r="AY1001" s="68"/>
      <c r="AZ1001" s="34"/>
      <c r="BA1001" s="34"/>
      <c r="BB1001" s="34"/>
      <c r="BC1001" s="34"/>
    </row>
    <row r="1002" spans="1:55" ht="13" customHeight="1">
      <c r="A1002" s="14"/>
      <c r="B1002" s="257"/>
      <c r="C1002" s="82"/>
      <c r="D1002" s="1772" t="s">
        <v>1285</v>
      </c>
      <c r="E1002" s="1773"/>
      <c r="F1002" s="1773"/>
      <c r="G1002" s="1773"/>
      <c r="H1002" s="1773"/>
      <c r="I1002" s="1773"/>
      <c r="J1002" s="1773"/>
      <c r="K1002" s="1773"/>
      <c r="L1002" s="1773"/>
      <c r="M1002" s="1773"/>
      <c r="N1002" s="1773"/>
      <c r="O1002" s="1773"/>
      <c r="P1002" s="1773"/>
      <c r="Q1002" s="1773"/>
      <c r="R1002" s="1773"/>
      <c r="S1002" s="1773"/>
      <c r="T1002" s="1773"/>
      <c r="U1002" s="1773"/>
      <c r="V1002" s="1773"/>
      <c r="W1002" s="1773"/>
      <c r="X1002" s="1773"/>
      <c r="Y1002" s="1773"/>
      <c r="Z1002" s="1773"/>
      <c r="AA1002" s="1773"/>
      <c r="AB1002" s="1773"/>
      <c r="AC1002" s="1773"/>
      <c r="AD1002" s="1773"/>
      <c r="AE1002" s="1774"/>
      <c r="AF1002" s="73"/>
      <c r="AG1002" s="14"/>
      <c r="AH1002" s="14"/>
      <c r="AI1002" s="83"/>
      <c r="AJ1002" s="1732"/>
      <c r="AK1002" s="1733"/>
      <c r="AL1002" s="1733"/>
      <c r="AM1002" s="1733"/>
      <c r="AN1002" s="1733"/>
      <c r="AO1002" s="1733"/>
      <c r="AP1002" s="1733"/>
      <c r="AQ1002" s="1734"/>
      <c r="AR1002" s="68"/>
      <c r="AS1002" s="68"/>
      <c r="AT1002" s="68"/>
      <c r="AU1002" s="68"/>
      <c r="AV1002" s="68"/>
      <c r="AW1002" s="68"/>
      <c r="AX1002" s="68"/>
      <c r="AY1002" s="34"/>
      <c r="AZ1002" s="34"/>
      <c r="BB1002" s="34"/>
    </row>
    <row r="1003" spans="1:55" ht="13" customHeight="1">
      <c r="A1003" s="14"/>
      <c r="B1003" s="257"/>
      <c r="C1003" s="82"/>
      <c r="D1003" s="1772"/>
      <c r="E1003" s="1773"/>
      <c r="F1003" s="1773"/>
      <c r="G1003" s="1773"/>
      <c r="H1003" s="1773"/>
      <c r="I1003" s="1773"/>
      <c r="J1003" s="1773"/>
      <c r="K1003" s="1773"/>
      <c r="L1003" s="1773"/>
      <c r="M1003" s="1773"/>
      <c r="N1003" s="1773"/>
      <c r="O1003" s="1773"/>
      <c r="P1003" s="1773"/>
      <c r="Q1003" s="1773"/>
      <c r="R1003" s="1773"/>
      <c r="S1003" s="1773"/>
      <c r="T1003" s="1773"/>
      <c r="U1003" s="1773"/>
      <c r="V1003" s="1773"/>
      <c r="W1003" s="1773"/>
      <c r="X1003" s="1773"/>
      <c r="Y1003" s="1773"/>
      <c r="Z1003" s="1773"/>
      <c r="AA1003" s="1773"/>
      <c r="AB1003" s="1773"/>
      <c r="AC1003" s="1773"/>
      <c r="AD1003" s="1773"/>
      <c r="AE1003" s="1774"/>
      <c r="AF1003" s="73"/>
      <c r="AG1003" s="14"/>
      <c r="AH1003" s="14"/>
      <c r="AI1003" s="83"/>
      <c r="AJ1003" s="1732"/>
      <c r="AK1003" s="1733"/>
      <c r="AL1003" s="1733"/>
      <c r="AM1003" s="1733"/>
      <c r="AN1003" s="1733"/>
      <c r="AO1003" s="1733"/>
      <c r="AP1003" s="1733"/>
      <c r="AQ1003" s="1734"/>
      <c r="AR1003" s="68"/>
      <c r="AS1003" s="68"/>
      <c r="AT1003" s="68"/>
      <c r="AU1003" s="68"/>
      <c r="AV1003" s="68"/>
      <c r="AW1003" s="68"/>
      <c r="AX1003" s="68"/>
      <c r="AY1003" s="914">
        <f>G753+O797</f>
        <v>89</v>
      </c>
      <c r="AZ1003" s="34"/>
      <c r="BB1003" s="34"/>
    </row>
    <row r="1004" spans="1:55" ht="13" customHeight="1">
      <c r="A1004" s="14"/>
      <c r="B1004" s="257"/>
      <c r="C1004" s="82"/>
      <c r="D1004" s="1772"/>
      <c r="E1004" s="1773"/>
      <c r="F1004" s="1773"/>
      <c r="G1004" s="1773"/>
      <c r="H1004" s="1773"/>
      <c r="I1004" s="1773"/>
      <c r="J1004" s="1773"/>
      <c r="K1004" s="1773"/>
      <c r="L1004" s="1773"/>
      <c r="M1004" s="1773"/>
      <c r="N1004" s="1773"/>
      <c r="O1004" s="1773"/>
      <c r="P1004" s="1773"/>
      <c r="Q1004" s="1773"/>
      <c r="R1004" s="1773"/>
      <c r="S1004" s="1773"/>
      <c r="T1004" s="1773"/>
      <c r="U1004" s="1773"/>
      <c r="V1004" s="1773"/>
      <c r="W1004" s="1773"/>
      <c r="X1004" s="1773"/>
      <c r="Y1004" s="1773"/>
      <c r="Z1004" s="1773"/>
      <c r="AA1004" s="1773"/>
      <c r="AB1004" s="1773"/>
      <c r="AC1004" s="1773"/>
      <c r="AD1004" s="1773"/>
      <c r="AE1004" s="1774"/>
      <c r="AF1004" s="73"/>
      <c r="AG1004" s="14"/>
      <c r="AH1004" s="14"/>
      <c r="AI1004" s="83"/>
      <c r="AJ1004" s="1732"/>
      <c r="AK1004" s="1733"/>
      <c r="AL1004" s="1733"/>
      <c r="AM1004" s="1733"/>
      <c r="AN1004" s="1733"/>
      <c r="AO1004" s="1733"/>
      <c r="AP1004" s="1733"/>
      <c r="AQ1004" s="1734"/>
      <c r="AR1004" s="68"/>
      <c r="AS1004" s="68"/>
      <c r="AT1004" s="68"/>
      <c r="AU1004" s="68"/>
      <c r="AV1004" s="68"/>
      <c r="AW1004" s="68"/>
      <c r="AX1004" s="68"/>
      <c r="AY1004" s="14"/>
      <c r="AZ1004" s="34"/>
      <c r="BB1004" s="34"/>
    </row>
    <row r="1005" spans="1:55" ht="13" customHeight="1">
      <c r="A1005" s="14"/>
      <c r="B1005" s="257"/>
      <c r="C1005" s="82"/>
      <c r="D1005" s="1772"/>
      <c r="E1005" s="1773"/>
      <c r="F1005" s="1773"/>
      <c r="G1005" s="1773"/>
      <c r="H1005" s="1773"/>
      <c r="I1005" s="1773"/>
      <c r="J1005" s="1773"/>
      <c r="K1005" s="1773"/>
      <c r="L1005" s="1773"/>
      <c r="M1005" s="1773"/>
      <c r="N1005" s="1773"/>
      <c r="O1005" s="1773"/>
      <c r="P1005" s="1773"/>
      <c r="Q1005" s="1773"/>
      <c r="R1005" s="1773"/>
      <c r="S1005" s="1773"/>
      <c r="T1005" s="1773"/>
      <c r="U1005" s="1773"/>
      <c r="V1005" s="1773"/>
      <c r="W1005" s="1773"/>
      <c r="X1005" s="1773"/>
      <c r="Y1005" s="1773"/>
      <c r="Z1005" s="1773"/>
      <c r="AA1005" s="1773"/>
      <c r="AB1005" s="1773"/>
      <c r="AC1005" s="1773"/>
      <c r="AD1005" s="1773"/>
      <c r="AE1005" s="1774"/>
      <c r="AF1005" s="73"/>
      <c r="AG1005" s="14"/>
      <c r="AH1005" s="14"/>
      <c r="AI1005" s="83"/>
      <c r="AJ1005" s="1732"/>
      <c r="AK1005" s="1733"/>
      <c r="AL1005" s="1733"/>
      <c r="AM1005" s="1733"/>
      <c r="AN1005" s="1733"/>
      <c r="AO1005" s="1733"/>
      <c r="AP1005" s="1733"/>
      <c r="AQ1005" s="1734"/>
      <c r="AR1005" s="68"/>
      <c r="AS1005" s="68"/>
      <c r="AT1005" s="68"/>
      <c r="AU1005" s="68"/>
      <c r="AV1005" s="68"/>
      <c r="AW1005" s="68"/>
      <c r="AX1005" s="68"/>
      <c r="AY1005" s="913">
        <f>ROUNDDOWN(X1048/I1048,2)</f>
        <v>0.11</v>
      </c>
      <c r="AZ1005" s="34"/>
      <c r="BB1005" s="34"/>
    </row>
    <row r="1006" spans="1:55" ht="13" customHeight="1">
      <c r="A1006" s="14"/>
      <c r="B1006" s="75"/>
      <c r="C1006" s="76"/>
      <c r="D1006" s="1775"/>
      <c r="E1006" s="1776"/>
      <c r="F1006" s="1776"/>
      <c r="G1006" s="1776"/>
      <c r="H1006" s="1776"/>
      <c r="I1006" s="1776"/>
      <c r="J1006" s="1776"/>
      <c r="K1006" s="1776"/>
      <c r="L1006" s="1776"/>
      <c r="M1006" s="1776"/>
      <c r="N1006" s="1776"/>
      <c r="O1006" s="1776"/>
      <c r="P1006" s="1776"/>
      <c r="Q1006" s="1776"/>
      <c r="R1006" s="1776"/>
      <c r="S1006" s="1776"/>
      <c r="T1006" s="1776"/>
      <c r="U1006" s="1776"/>
      <c r="V1006" s="1776"/>
      <c r="W1006" s="1776"/>
      <c r="X1006" s="1776"/>
      <c r="Y1006" s="1776"/>
      <c r="Z1006" s="1776"/>
      <c r="AA1006" s="1776"/>
      <c r="AB1006" s="1776"/>
      <c r="AC1006" s="1776"/>
      <c r="AD1006" s="1776"/>
      <c r="AE1006" s="1777"/>
      <c r="AF1006" s="77"/>
      <c r="AG1006" s="7"/>
      <c r="AH1006" s="7"/>
      <c r="AI1006" s="78"/>
      <c r="AJ1006" s="1735"/>
      <c r="AK1006" s="1736"/>
      <c r="AL1006" s="1736"/>
      <c r="AM1006" s="1736"/>
      <c r="AN1006" s="1736"/>
      <c r="AO1006" s="1736"/>
      <c r="AP1006" s="1736"/>
      <c r="AQ1006" s="1737"/>
      <c r="AR1006" s="68"/>
      <c r="AS1006" s="68"/>
      <c r="AT1006" s="68"/>
      <c r="AU1006" s="68"/>
      <c r="AV1006" s="68"/>
      <c r="AW1006" s="68"/>
      <c r="AX1006" s="68"/>
      <c r="AY1006" s="913">
        <f>ROUNDDOWN(X1052/I1052,2)</f>
        <v>0.12</v>
      </c>
      <c r="AZ1006" s="34"/>
      <c r="BB1006" s="34"/>
    </row>
    <row r="1007" spans="1:55" ht="13" customHeight="1">
      <c r="A1007" s="14"/>
      <c r="B1007" s="255"/>
      <c r="C1007" s="80" t="s">
        <v>673</v>
      </c>
      <c r="D1007" s="1769" t="s">
        <v>1684</v>
      </c>
      <c r="E1007" s="1770"/>
      <c r="F1007" s="1770"/>
      <c r="G1007" s="1770"/>
      <c r="H1007" s="1770"/>
      <c r="I1007" s="1770"/>
      <c r="J1007" s="1770"/>
      <c r="K1007" s="1770"/>
      <c r="L1007" s="1770"/>
      <c r="M1007" s="1770"/>
      <c r="N1007" s="1770"/>
      <c r="O1007" s="1770"/>
      <c r="P1007" s="1770"/>
      <c r="Q1007" s="1770"/>
      <c r="R1007" s="1770"/>
      <c r="S1007" s="1770"/>
      <c r="T1007" s="1770"/>
      <c r="U1007" s="1770"/>
      <c r="V1007" s="1770"/>
      <c r="W1007" s="1770"/>
      <c r="X1007" s="1770"/>
      <c r="Y1007" s="1770"/>
      <c r="Z1007" s="1770"/>
      <c r="AA1007" s="1770"/>
      <c r="AB1007" s="1770"/>
      <c r="AC1007" s="1770"/>
      <c r="AD1007" s="1770"/>
      <c r="AE1007" s="1771"/>
      <c r="AF1007" s="86"/>
      <c r="AG1007" s="1755" t="s">
        <v>546</v>
      </c>
      <c r="AH1007" s="1756"/>
      <c r="AI1007" s="87"/>
      <c r="AJ1007" s="1729">
        <f>ROUND(IF(AG1007="yes",AJ992*0.1,0),0)</f>
        <v>4375954</v>
      </c>
      <c r="AK1007" s="1730"/>
      <c r="AL1007" s="1730"/>
      <c r="AM1007" s="1730"/>
      <c r="AN1007" s="1730"/>
      <c r="AO1007" s="1730"/>
      <c r="AP1007" s="1730"/>
      <c r="AQ1007" s="1731"/>
      <c r="AR1007" s="68"/>
      <c r="AS1007" s="68"/>
      <c r="AT1007" s="68"/>
      <c r="AU1007" s="68"/>
      <c r="AV1007" s="68"/>
      <c r="AW1007" s="68"/>
      <c r="AX1007" s="68"/>
      <c r="BB1007" s="34"/>
    </row>
    <row r="1008" spans="1:55" ht="13" customHeight="1">
      <c r="A1008" s="14"/>
      <c r="B1008" s="73"/>
      <c r="C1008" s="74"/>
      <c r="D1008" s="1700" t="s">
        <v>1286</v>
      </c>
      <c r="E1008" s="1701"/>
      <c r="F1008" s="1701"/>
      <c r="G1008" s="1701"/>
      <c r="H1008" s="1701"/>
      <c r="I1008" s="1701"/>
      <c r="J1008" s="1701"/>
      <c r="K1008" s="1701"/>
      <c r="L1008" s="1701"/>
      <c r="M1008" s="1701"/>
      <c r="N1008" s="1701"/>
      <c r="O1008" s="1701"/>
      <c r="P1008" s="1701"/>
      <c r="Q1008" s="1701"/>
      <c r="R1008" s="1701"/>
      <c r="S1008" s="1701"/>
      <c r="T1008" s="1701"/>
      <c r="U1008" s="1701"/>
      <c r="V1008" s="1701"/>
      <c r="W1008" s="1701"/>
      <c r="X1008" s="1701"/>
      <c r="Y1008" s="1701"/>
      <c r="Z1008" s="1701"/>
      <c r="AA1008" s="1701"/>
      <c r="AB1008" s="1701"/>
      <c r="AC1008" s="1701"/>
      <c r="AD1008" s="1701"/>
      <c r="AE1008" s="1702"/>
      <c r="AF1008" s="73"/>
      <c r="AI1008" s="83"/>
      <c r="AJ1008" s="1732"/>
      <c r="AK1008" s="1733"/>
      <c r="AL1008" s="1733"/>
      <c r="AM1008" s="1733"/>
      <c r="AN1008" s="1733"/>
      <c r="AO1008" s="1733"/>
      <c r="AP1008" s="1733"/>
      <c r="AQ1008" s="1734"/>
      <c r="AR1008" s="68"/>
      <c r="AS1008" s="68"/>
      <c r="AT1008" s="68"/>
      <c r="AU1008" s="68"/>
      <c r="AV1008" s="68"/>
      <c r="AW1008" s="68"/>
      <c r="AX1008" s="68"/>
    </row>
    <row r="1009" spans="1:52" ht="13" customHeight="1">
      <c r="A1009" s="14"/>
      <c r="B1009" s="73"/>
      <c r="C1009" s="74"/>
      <c r="D1009" s="1700"/>
      <c r="E1009" s="1701"/>
      <c r="F1009" s="1701"/>
      <c r="G1009" s="1701"/>
      <c r="H1009" s="1701"/>
      <c r="I1009" s="1701"/>
      <c r="J1009" s="1701"/>
      <c r="K1009" s="1701"/>
      <c r="L1009" s="1701"/>
      <c r="M1009" s="1701"/>
      <c r="N1009" s="1701"/>
      <c r="O1009" s="1701"/>
      <c r="P1009" s="1701"/>
      <c r="Q1009" s="1701"/>
      <c r="R1009" s="1701"/>
      <c r="S1009" s="1701"/>
      <c r="T1009" s="1701"/>
      <c r="U1009" s="1701"/>
      <c r="V1009" s="1701"/>
      <c r="W1009" s="1701"/>
      <c r="X1009" s="1701"/>
      <c r="Y1009" s="1701"/>
      <c r="Z1009" s="1701"/>
      <c r="AA1009" s="1701"/>
      <c r="AB1009" s="1701"/>
      <c r="AC1009" s="1701"/>
      <c r="AD1009" s="1701"/>
      <c r="AE1009" s="1702"/>
      <c r="AF1009" s="73"/>
      <c r="AG1009" s="14"/>
      <c r="AH1009" s="14"/>
      <c r="AI1009" s="83"/>
      <c r="AJ1009" s="1732"/>
      <c r="AK1009" s="1733"/>
      <c r="AL1009" s="1733"/>
      <c r="AM1009" s="1733"/>
      <c r="AN1009" s="1733"/>
      <c r="AO1009" s="1733"/>
      <c r="AP1009" s="1733"/>
      <c r="AQ1009" s="1734"/>
      <c r="AR1009" s="68"/>
      <c r="AS1009" s="68"/>
      <c r="AT1009" s="68"/>
      <c r="AU1009" s="68"/>
      <c r="AV1009" s="68"/>
      <c r="AW1009" s="68"/>
      <c r="AX1009" s="68"/>
    </row>
    <row r="1010" spans="1:52" ht="13" customHeight="1">
      <c r="A1010" s="14"/>
      <c r="B1010" s="85"/>
      <c r="C1010" s="76"/>
      <c r="D1010" s="1747"/>
      <c r="E1010" s="1748"/>
      <c r="F1010" s="1748"/>
      <c r="G1010" s="1748"/>
      <c r="H1010" s="1748"/>
      <c r="I1010" s="1748"/>
      <c r="J1010" s="1748"/>
      <c r="K1010" s="1748"/>
      <c r="L1010" s="1748"/>
      <c r="M1010" s="1748"/>
      <c r="N1010" s="1748"/>
      <c r="O1010" s="1748"/>
      <c r="P1010" s="1748"/>
      <c r="Q1010" s="1748"/>
      <c r="R1010" s="1748"/>
      <c r="S1010" s="1748"/>
      <c r="T1010" s="1748"/>
      <c r="U1010" s="1748"/>
      <c r="V1010" s="1748"/>
      <c r="W1010" s="1748"/>
      <c r="X1010" s="1748"/>
      <c r="Y1010" s="1748"/>
      <c r="Z1010" s="1748"/>
      <c r="AA1010" s="1748"/>
      <c r="AB1010" s="1748"/>
      <c r="AC1010" s="1748"/>
      <c r="AD1010" s="1748"/>
      <c r="AE1010" s="1749"/>
      <c r="AF1010" s="77"/>
      <c r="AG1010" s="7"/>
      <c r="AH1010" s="7"/>
      <c r="AI1010" s="78"/>
      <c r="AJ1010" s="1735"/>
      <c r="AK1010" s="1736"/>
      <c r="AL1010" s="1736"/>
      <c r="AM1010" s="1736"/>
      <c r="AN1010" s="1736"/>
      <c r="AO1010" s="1736"/>
      <c r="AP1010" s="1736"/>
      <c r="AQ1010" s="1737"/>
      <c r="AR1010" s="68"/>
      <c r="AS1010" s="68"/>
      <c r="AT1010" s="68"/>
      <c r="AU1010" s="68"/>
      <c r="AV1010" s="68"/>
      <c r="AW1010" s="68"/>
      <c r="AX1010" s="68"/>
    </row>
    <row r="1011" spans="1:52" ht="13" customHeight="1">
      <c r="A1011" s="14"/>
      <c r="B1011" s="79"/>
      <c r="C1011" s="80" t="s">
        <v>212</v>
      </c>
      <c r="D1011" s="1769" t="s">
        <v>1288</v>
      </c>
      <c r="E1011" s="1770"/>
      <c r="F1011" s="1770"/>
      <c r="G1011" s="1770"/>
      <c r="H1011" s="1770"/>
      <c r="I1011" s="1770"/>
      <c r="J1011" s="1770"/>
      <c r="K1011" s="1770"/>
      <c r="L1011" s="1770"/>
      <c r="M1011" s="1770"/>
      <c r="N1011" s="1770"/>
      <c r="O1011" s="1770"/>
      <c r="P1011" s="1770"/>
      <c r="Q1011" s="1770"/>
      <c r="R1011" s="1770"/>
      <c r="S1011" s="1770"/>
      <c r="T1011" s="1770"/>
      <c r="U1011" s="1770"/>
      <c r="V1011" s="1770"/>
      <c r="W1011" s="1770"/>
      <c r="X1011" s="1770"/>
      <c r="Y1011" s="1770"/>
      <c r="Z1011" s="1770"/>
      <c r="AA1011" s="1770"/>
      <c r="AB1011" s="1770"/>
      <c r="AC1011" s="1770"/>
      <c r="AD1011" s="1770"/>
      <c r="AE1011" s="1771"/>
      <c r="AF1011" s="79"/>
      <c r="AG1011" s="1755" t="s">
        <v>670</v>
      </c>
      <c r="AH1011" s="1756"/>
      <c r="AI1011" s="87"/>
      <c r="AJ1011" s="1729">
        <f>ROUND(IF(AG1011="yes",AJ992*0.02,0),0)</f>
        <v>0</v>
      </c>
      <c r="AK1011" s="1730"/>
      <c r="AL1011" s="1730"/>
      <c r="AM1011" s="1730"/>
      <c r="AN1011" s="1730"/>
      <c r="AO1011" s="1730"/>
      <c r="AP1011" s="1730"/>
      <c r="AQ1011" s="1731"/>
      <c r="AR1011" s="68"/>
      <c r="AS1011" s="68"/>
      <c r="AT1011" s="68"/>
      <c r="AU1011" s="68"/>
      <c r="AV1011" s="68"/>
      <c r="AW1011" s="68"/>
      <c r="AX1011" s="68"/>
    </row>
    <row r="1012" spans="1:52" ht="14.25" customHeight="1">
      <c r="A1012" s="14"/>
      <c r="B1012" s="73"/>
      <c r="C1012" s="74"/>
      <c r="D1012" s="1747" t="s">
        <v>1289</v>
      </c>
      <c r="E1012" s="1748"/>
      <c r="F1012" s="1748"/>
      <c r="G1012" s="1748"/>
      <c r="H1012" s="1748"/>
      <c r="I1012" s="1748"/>
      <c r="J1012" s="1748"/>
      <c r="K1012" s="1748"/>
      <c r="L1012" s="1748"/>
      <c r="M1012" s="1748"/>
      <c r="N1012" s="1748"/>
      <c r="O1012" s="1748"/>
      <c r="P1012" s="1748"/>
      <c r="Q1012" s="1748"/>
      <c r="R1012" s="1748"/>
      <c r="S1012" s="1748"/>
      <c r="T1012" s="1748"/>
      <c r="U1012" s="1748"/>
      <c r="V1012" s="1748"/>
      <c r="W1012" s="1748"/>
      <c r="X1012" s="1748"/>
      <c r="Y1012" s="1748"/>
      <c r="Z1012" s="1748"/>
      <c r="AA1012" s="1748"/>
      <c r="AB1012" s="1748"/>
      <c r="AC1012" s="1748"/>
      <c r="AD1012" s="1748"/>
      <c r="AE1012" s="1749"/>
      <c r="AF1012" s="77"/>
      <c r="AG1012" s="7"/>
      <c r="AH1012" s="7"/>
      <c r="AI1012" s="78"/>
      <c r="AJ1012" s="1735"/>
      <c r="AK1012" s="1736"/>
      <c r="AL1012" s="1736"/>
      <c r="AM1012" s="1736"/>
      <c r="AN1012" s="1736"/>
      <c r="AO1012" s="1736"/>
      <c r="AP1012" s="1736"/>
      <c r="AQ1012" s="1737"/>
      <c r="AR1012" s="68"/>
      <c r="AS1012" s="68"/>
      <c r="AT1012" s="68"/>
      <c r="AU1012" s="68"/>
      <c r="AV1012" s="68"/>
      <c r="AW1012" s="68"/>
      <c r="AX1012" s="3" t="s">
        <v>1842</v>
      </c>
      <c r="AZ1012" s="3" t="s">
        <v>2609</v>
      </c>
    </row>
    <row r="1013" spans="1:52" ht="13" customHeight="1">
      <c r="A1013" s="14"/>
      <c r="B1013" s="79"/>
      <c r="C1013" s="80" t="s">
        <v>215</v>
      </c>
      <c r="D1013" s="1769" t="s">
        <v>1290</v>
      </c>
      <c r="E1013" s="1770"/>
      <c r="F1013" s="1770"/>
      <c r="G1013" s="1770"/>
      <c r="H1013" s="1770"/>
      <c r="I1013" s="1770"/>
      <c r="J1013" s="1770"/>
      <c r="K1013" s="1770"/>
      <c r="L1013" s="1770"/>
      <c r="M1013" s="1770"/>
      <c r="N1013" s="1770"/>
      <c r="O1013" s="1770"/>
      <c r="P1013" s="1770"/>
      <c r="Q1013" s="1770"/>
      <c r="R1013" s="1770"/>
      <c r="S1013" s="1770"/>
      <c r="T1013" s="1770"/>
      <c r="U1013" s="1770"/>
      <c r="V1013" s="1770"/>
      <c r="W1013" s="1770"/>
      <c r="X1013" s="1770"/>
      <c r="Y1013" s="1770"/>
      <c r="Z1013" s="1770"/>
      <c r="AA1013" s="1770"/>
      <c r="AB1013" s="1770"/>
      <c r="AC1013" s="1770"/>
      <c r="AD1013" s="1770"/>
      <c r="AE1013" s="1771"/>
      <c r="AF1013" s="79"/>
      <c r="AG1013" s="1755" t="s">
        <v>670</v>
      </c>
      <c r="AH1013" s="1756"/>
      <c r="AI1013" s="79"/>
      <c r="AJ1013" s="1729">
        <f>ROUND(IF(AG1013="yes",AJ992*0.02,0),0)</f>
        <v>0</v>
      </c>
      <c r="AK1013" s="1730"/>
      <c r="AL1013" s="1730"/>
      <c r="AM1013" s="1730"/>
      <c r="AN1013" s="1730"/>
      <c r="AO1013" s="1730"/>
      <c r="AP1013" s="1730"/>
      <c r="AQ1013" s="1731"/>
      <c r="AR1013" s="68"/>
      <c r="AS1013" s="68"/>
      <c r="AT1013" s="68"/>
      <c r="AU1013" s="68"/>
      <c r="AV1013" s="68"/>
      <c r="AW1013" s="68"/>
      <c r="AX1013" s="3">
        <v>1</v>
      </c>
      <c r="AY1013" s="200">
        <f>IF((_xlfn.XLOOKUP(AX1013,$C$1065:$C$1103,$A$1065:$A$1103,"",0,1))="Yes",AZ1013,0)</f>
        <v>0.2</v>
      </c>
      <c r="AZ1013" s="1255">
        <v>0.2</v>
      </c>
    </row>
    <row r="1014" spans="1:52" ht="13" customHeight="1">
      <c r="A1014" s="14"/>
      <c r="B1014" s="73"/>
      <c r="C1014" s="74"/>
      <c r="D1014" s="1700" t="s">
        <v>1291</v>
      </c>
      <c r="E1014" s="1701"/>
      <c r="F1014" s="1701"/>
      <c r="G1014" s="1701"/>
      <c r="H1014" s="1701"/>
      <c r="I1014" s="1701"/>
      <c r="J1014" s="1701"/>
      <c r="K1014" s="1701"/>
      <c r="L1014" s="1701"/>
      <c r="M1014" s="1701"/>
      <c r="N1014" s="1701"/>
      <c r="O1014" s="1701"/>
      <c r="P1014" s="1701"/>
      <c r="Q1014" s="1701"/>
      <c r="R1014" s="1701"/>
      <c r="S1014" s="1701"/>
      <c r="T1014" s="1701"/>
      <c r="U1014" s="1701"/>
      <c r="V1014" s="1701"/>
      <c r="W1014" s="1701"/>
      <c r="X1014" s="1701"/>
      <c r="Y1014" s="1701"/>
      <c r="Z1014" s="1701"/>
      <c r="AA1014" s="1701"/>
      <c r="AB1014" s="1701"/>
      <c r="AC1014" s="1701"/>
      <c r="AD1014" s="1701"/>
      <c r="AE1014" s="1702"/>
      <c r="AF1014" s="1853" t="str">
        <f>IF(AND(AG1013="yes",T212&lt;&gt;1),"The project may not be eligible for this boost","")</f>
        <v/>
      </c>
      <c r="AG1014" s="1854"/>
      <c r="AH1014" s="1854"/>
      <c r="AI1014" s="1855"/>
      <c r="AJ1014" s="1732"/>
      <c r="AK1014" s="1733"/>
      <c r="AL1014" s="1733"/>
      <c r="AM1014" s="1733"/>
      <c r="AN1014" s="1733"/>
      <c r="AO1014" s="1733"/>
      <c r="AP1014" s="1733"/>
      <c r="AQ1014" s="1734"/>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47"/>
      <c r="E1015" s="1748"/>
      <c r="F1015" s="1748"/>
      <c r="G1015" s="1748"/>
      <c r="H1015" s="1748"/>
      <c r="I1015" s="1748"/>
      <c r="J1015" s="1748"/>
      <c r="K1015" s="1748"/>
      <c r="L1015" s="1748"/>
      <c r="M1015" s="1748"/>
      <c r="N1015" s="1748"/>
      <c r="O1015" s="1748"/>
      <c r="P1015" s="1748"/>
      <c r="Q1015" s="1748"/>
      <c r="R1015" s="1748"/>
      <c r="S1015" s="1748"/>
      <c r="T1015" s="1748"/>
      <c r="U1015" s="1748"/>
      <c r="V1015" s="1748"/>
      <c r="W1015" s="1748"/>
      <c r="X1015" s="1748"/>
      <c r="Y1015" s="1748"/>
      <c r="Z1015" s="1748"/>
      <c r="AA1015" s="1748"/>
      <c r="AB1015" s="1748"/>
      <c r="AC1015" s="1748"/>
      <c r="AD1015" s="1748"/>
      <c r="AE1015" s="1749"/>
      <c r="AF1015" s="1856"/>
      <c r="AG1015" s="1857"/>
      <c r="AH1015" s="1857"/>
      <c r="AI1015" s="1858"/>
      <c r="AJ1015" s="1735"/>
      <c r="AK1015" s="1736"/>
      <c r="AL1015" s="1736"/>
      <c r="AM1015" s="1736"/>
      <c r="AN1015" s="1736"/>
      <c r="AO1015" s="1736"/>
      <c r="AP1015" s="1736"/>
      <c r="AQ1015" s="1737"/>
      <c r="AR1015" s="68"/>
      <c r="AS1015" s="68"/>
      <c r="AT1015" s="68"/>
      <c r="AU1015" s="68"/>
      <c r="AV1015" s="68"/>
      <c r="AW1015" s="68"/>
      <c r="AX1015" s="3">
        <v>3</v>
      </c>
      <c r="AY1015" s="200">
        <f t="shared" si="53"/>
        <v>0</v>
      </c>
      <c r="AZ1015" s="1255">
        <v>0.05</v>
      </c>
    </row>
    <row r="1016" spans="1:52" ht="13" customHeight="1">
      <c r="A1016" s="14"/>
      <c r="B1016" s="79"/>
      <c r="C1016" s="80" t="s">
        <v>218</v>
      </c>
      <c r="D1016" s="1738" t="s">
        <v>2238</v>
      </c>
      <c r="E1016" s="1739"/>
      <c r="F1016" s="1739"/>
      <c r="G1016" s="1739"/>
      <c r="H1016" s="1739"/>
      <c r="I1016" s="1739"/>
      <c r="J1016" s="1739"/>
      <c r="K1016" s="1739"/>
      <c r="L1016" s="1739"/>
      <c r="M1016" s="1739"/>
      <c r="N1016" s="1739"/>
      <c r="O1016" s="1739"/>
      <c r="P1016" s="1739"/>
      <c r="Q1016" s="1739"/>
      <c r="R1016" s="1739"/>
      <c r="S1016" s="1739"/>
      <c r="T1016" s="1739"/>
      <c r="U1016" s="1739"/>
      <c r="V1016" s="1739"/>
      <c r="W1016" s="1739"/>
      <c r="X1016" s="1739"/>
      <c r="Y1016" s="1739"/>
      <c r="Z1016" s="1739"/>
      <c r="AA1016" s="1739"/>
      <c r="AB1016" s="1739"/>
      <c r="AC1016" s="1739"/>
      <c r="AD1016" s="1739"/>
      <c r="AE1016" s="1740"/>
      <c r="AF1016" s="79"/>
      <c r="AG1016" s="1755" t="s">
        <v>546</v>
      </c>
      <c r="AH1016" s="1756"/>
      <c r="AI1016" s="87"/>
      <c r="AJ1016" s="1729">
        <f>IF(AG1016="yes",AJ992*AY1024,0)</f>
        <v>0</v>
      </c>
      <c r="AK1016" s="1730"/>
      <c r="AL1016" s="1730"/>
      <c r="AM1016" s="1730"/>
      <c r="AN1016" s="1730"/>
      <c r="AO1016" s="1730"/>
      <c r="AP1016" s="1730"/>
      <c r="AQ1016" s="1731"/>
      <c r="AR1016" s="68"/>
      <c r="AS1016" s="68"/>
      <c r="AT1016" s="68"/>
      <c r="AU1016" s="68"/>
      <c r="AV1016" s="68"/>
      <c r="AW1016" s="68"/>
      <c r="AX1016" s="3">
        <v>4</v>
      </c>
      <c r="AY1016" s="200">
        <f t="shared" si="53"/>
        <v>0</v>
      </c>
      <c r="AZ1016" s="1255">
        <v>0.02</v>
      </c>
    </row>
    <row r="1017" spans="1:52" ht="13" customHeight="1">
      <c r="A1017" s="14"/>
      <c r="B1017" s="73"/>
      <c r="C1017" s="74"/>
      <c r="D1017" s="1700" t="s">
        <v>1292</v>
      </c>
      <c r="E1017" s="1701"/>
      <c r="F1017" s="1701"/>
      <c r="G1017" s="1701"/>
      <c r="H1017" s="1701"/>
      <c r="I1017" s="1701"/>
      <c r="J1017" s="1701"/>
      <c r="K1017" s="1701"/>
      <c r="L1017" s="1701"/>
      <c r="M1017" s="1701"/>
      <c r="N1017" s="1701"/>
      <c r="O1017" s="1701"/>
      <c r="P1017" s="1701"/>
      <c r="Q1017" s="1701"/>
      <c r="R1017" s="1701"/>
      <c r="S1017" s="1701"/>
      <c r="T1017" s="1701"/>
      <c r="U1017" s="1701"/>
      <c r="V1017" s="1701"/>
      <c r="W1017" s="1701"/>
      <c r="X1017" s="1701"/>
      <c r="Y1017" s="1701"/>
      <c r="Z1017" s="1701"/>
      <c r="AA1017" s="1701"/>
      <c r="AB1017" s="1701"/>
      <c r="AC1017" s="1701"/>
      <c r="AD1017" s="1701"/>
      <c r="AE1017" s="1702"/>
      <c r="AF1017" s="1847" t="str">
        <f>IF(AND(AG1016="Yes",AY1024=0),AY1027,"")</f>
        <v>Select items beginning on row #1061 to claim this boost</v>
      </c>
      <c r="AG1017" s="1848"/>
      <c r="AH1017" s="1848"/>
      <c r="AI1017" s="1849"/>
      <c r="AJ1017" s="1732"/>
      <c r="AK1017" s="1733"/>
      <c r="AL1017" s="1733"/>
      <c r="AM1017" s="1733"/>
      <c r="AN1017" s="1733"/>
      <c r="AO1017" s="1733"/>
      <c r="AP1017" s="1733"/>
      <c r="AQ1017" s="1734"/>
      <c r="AR1017" s="68"/>
      <c r="AS1017" s="68"/>
      <c r="AT1017" s="68"/>
      <c r="AU1017" s="68"/>
      <c r="AV1017" s="68"/>
      <c r="AW1017" s="68"/>
      <c r="AX1017" s="3">
        <v>5</v>
      </c>
      <c r="AY1017" s="200">
        <f t="shared" si="53"/>
        <v>0</v>
      </c>
      <c r="AZ1017" s="1255">
        <v>0.04</v>
      </c>
    </row>
    <row r="1018" spans="1:52" ht="13" customHeight="1">
      <c r="A1018" s="14"/>
      <c r="B1018" s="73"/>
      <c r="C1018" s="74"/>
      <c r="D1018" s="1700"/>
      <c r="E1018" s="1701"/>
      <c r="F1018" s="1701"/>
      <c r="G1018" s="1701"/>
      <c r="H1018" s="1701"/>
      <c r="I1018" s="1701"/>
      <c r="J1018" s="1701"/>
      <c r="K1018" s="1701"/>
      <c r="L1018" s="1701"/>
      <c r="M1018" s="1701"/>
      <c r="N1018" s="1701"/>
      <c r="O1018" s="1701"/>
      <c r="P1018" s="1701"/>
      <c r="Q1018" s="1701"/>
      <c r="R1018" s="1701"/>
      <c r="S1018" s="1701"/>
      <c r="T1018" s="1701"/>
      <c r="U1018" s="1701"/>
      <c r="V1018" s="1701"/>
      <c r="W1018" s="1701"/>
      <c r="X1018" s="1701"/>
      <c r="Y1018" s="1701"/>
      <c r="Z1018" s="1701"/>
      <c r="AA1018" s="1701"/>
      <c r="AB1018" s="1701"/>
      <c r="AC1018" s="1701"/>
      <c r="AD1018" s="1701"/>
      <c r="AE1018" s="1702"/>
      <c r="AF1018" s="1847"/>
      <c r="AG1018" s="1848"/>
      <c r="AH1018" s="1848"/>
      <c r="AI1018" s="1849"/>
      <c r="AJ1018" s="1732"/>
      <c r="AK1018" s="1733"/>
      <c r="AL1018" s="1733"/>
      <c r="AM1018" s="1733"/>
      <c r="AN1018" s="1733"/>
      <c r="AO1018" s="1733"/>
      <c r="AP1018" s="1733"/>
      <c r="AQ1018" s="1734"/>
      <c r="AR1018" s="68"/>
      <c r="AS1018" s="68"/>
      <c r="AT1018" s="68"/>
      <c r="AU1018" s="68"/>
      <c r="AV1018" s="68"/>
      <c r="AW1018" s="68"/>
      <c r="AX1018" s="3">
        <v>6</v>
      </c>
      <c r="AY1018" s="200">
        <f t="shared" si="53"/>
        <v>0</v>
      </c>
      <c r="AZ1018" s="1255">
        <v>0.04</v>
      </c>
    </row>
    <row r="1019" spans="1:52" ht="13" customHeight="1">
      <c r="A1019" s="14"/>
      <c r="B1019" s="81"/>
      <c r="C1019" s="82"/>
      <c r="D1019" s="1747"/>
      <c r="E1019" s="1748"/>
      <c r="F1019" s="1748"/>
      <c r="G1019" s="1748"/>
      <c r="H1019" s="1748"/>
      <c r="I1019" s="1748"/>
      <c r="J1019" s="1748"/>
      <c r="K1019" s="1748"/>
      <c r="L1019" s="1748"/>
      <c r="M1019" s="1748"/>
      <c r="N1019" s="1748"/>
      <c r="O1019" s="1748"/>
      <c r="P1019" s="1748"/>
      <c r="Q1019" s="1748"/>
      <c r="R1019" s="1748"/>
      <c r="S1019" s="1748"/>
      <c r="T1019" s="1748"/>
      <c r="U1019" s="1748"/>
      <c r="V1019" s="1748"/>
      <c r="W1019" s="1748"/>
      <c r="X1019" s="1748"/>
      <c r="Y1019" s="1748"/>
      <c r="Z1019" s="1748"/>
      <c r="AA1019" s="1748"/>
      <c r="AB1019" s="1748"/>
      <c r="AC1019" s="1748"/>
      <c r="AD1019" s="1748"/>
      <c r="AE1019" s="1749"/>
      <c r="AF1019" s="1850"/>
      <c r="AG1019" s="1851"/>
      <c r="AH1019" s="1851"/>
      <c r="AI1019" s="1852"/>
      <c r="AJ1019" s="1735"/>
      <c r="AK1019" s="1736"/>
      <c r="AL1019" s="1736"/>
      <c r="AM1019" s="1736"/>
      <c r="AN1019" s="1736"/>
      <c r="AO1019" s="1736"/>
      <c r="AP1019" s="1736"/>
      <c r="AQ1019" s="1737"/>
      <c r="AR1019" s="68"/>
      <c r="AS1019" s="68"/>
      <c r="AT1019" s="68"/>
      <c r="AU1019" s="68"/>
      <c r="AV1019" s="68"/>
      <c r="AW1019" s="68"/>
      <c r="AX1019" s="3">
        <v>7</v>
      </c>
      <c r="AY1019" s="200">
        <f t="shared" si="53"/>
        <v>0</v>
      </c>
      <c r="AZ1019" s="1255">
        <v>0.01</v>
      </c>
    </row>
    <row r="1020" spans="1:52" ht="13" customHeight="1">
      <c r="A1020" s="14"/>
      <c r="B1020" s="79"/>
      <c r="C1020" s="80" t="s">
        <v>223</v>
      </c>
      <c r="D1020" s="1817" t="s">
        <v>1293</v>
      </c>
      <c r="E1020" s="1818"/>
      <c r="F1020" s="1818"/>
      <c r="G1020" s="1818"/>
      <c r="H1020" s="1818"/>
      <c r="I1020" s="1818"/>
      <c r="J1020" s="1818"/>
      <c r="K1020" s="1818"/>
      <c r="L1020" s="1818"/>
      <c r="M1020" s="1818"/>
      <c r="N1020" s="1818"/>
      <c r="O1020" s="1818"/>
      <c r="P1020" s="1818"/>
      <c r="Q1020" s="1818"/>
      <c r="R1020" s="1818"/>
      <c r="S1020" s="1818"/>
      <c r="T1020" s="1818"/>
      <c r="U1020" s="1818"/>
      <c r="V1020" s="1818"/>
      <c r="W1020" s="1818"/>
      <c r="X1020" s="1818"/>
      <c r="Y1020" s="1818"/>
      <c r="Z1020" s="1818"/>
      <c r="AA1020" s="1818"/>
      <c r="AB1020" s="1818"/>
      <c r="AC1020" s="1818"/>
      <c r="AD1020" s="1818"/>
      <c r="AE1020" s="1819"/>
      <c r="AF1020" s="79"/>
      <c r="AG1020" s="1755" t="s">
        <v>670</v>
      </c>
      <c r="AH1020" s="1756"/>
      <c r="AI1020" s="87"/>
      <c r="AJ1020" s="1729">
        <f>ROUND(IF(AND(AG1020="Yes",J1024&lt;&gt;"N/A",AF1023&lt;&gt;""),MIN(AF1023,(0.15*AJ992)),0),0)</f>
        <v>0</v>
      </c>
      <c r="AK1020" s="1730"/>
      <c r="AL1020" s="1730"/>
      <c r="AM1020" s="1730"/>
      <c r="AN1020" s="1730"/>
      <c r="AO1020" s="1730"/>
      <c r="AP1020" s="1730"/>
      <c r="AQ1020" s="1731"/>
      <c r="AR1020" s="68"/>
      <c r="AS1020" s="68"/>
      <c r="AT1020" s="68"/>
      <c r="AU1020" s="68"/>
      <c r="AV1020" s="68"/>
      <c r="AW1020" s="68"/>
      <c r="AX1020" s="3">
        <v>8</v>
      </c>
      <c r="AY1020" s="200">
        <f t="shared" si="53"/>
        <v>0</v>
      </c>
      <c r="AZ1020" s="1255">
        <v>0.01</v>
      </c>
    </row>
    <row r="1021" spans="1:52" ht="13" customHeight="1">
      <c r="A1021" s="14"/>
      <c r="B1021" s="81"/>
      <c r="C1021" s="84"/>
      <c r="D1021" s="1820"/>
      <c r="E1021" s="1821"/>
      <c r="F1021" s="1821"/>
      <c r="G1021" s="1821"/>
      <c r="H1021" s="1821"/>
      <c r="I1021" s="1821"/>
      <c r="J1021" s="1821"/>
      <c r="K1021" s="1821"/>
      <c r="L1021" s="1821"/>
      <c r="M1021" s="1821"/>
      <c r="N1021" s="1821"/>
      <c r="O1021" s="1821"/>
      <c r="P1021" s="1821"/>
      <c r="Q1021" s="1821"/>
      <c r="R1021" s="1821"/>
      <c r="S1021" s="1821"/>
      <c r="T1021" s="1821"/>
      <c r="U1021" s="1821"/>
      <c r="V1021" s="1821"/>
      <c r="W1021" s="1821"/>
      <c r="X1021" s="1821"/>
      <c r="Y1021" s="1821"/>
      <c r="Z1021" s="1821"/>
      <c r="AA1021" s="1821"/>
      <c r="AB1021" s="1821"/>
      <c r="AC1021" s="1821"/>
      <c r="AD1021" s="1821"/>
      <c r="AE1021" s="1822"/>
      <c r="AF1021" s="1834" t="str">
        <f>IF(AG1020="yes","Please Select Type and Enter Amount:","")</f>
        <v/>
      </c>
      <c r="AG1021" s="1835"/>
      <c r="AH1021" s="1835"/>
      <c r="AI1021" s="1836"/>
      <c r="AJ1021" s="1732"/>
      <c r="AK1021" s="1733"/>
      <c r="AL1021" s="1733"/>
      <c r="AM1021" s="1733"/>
      <c r="AN1021" s="1733"/>
      <c r="AO1021" s="1733"/>
      <c r="AP1021" s="1733"/>
      <c r="AQ1021" s="1734"/>
      <c r="AR1021" s="68"/>
      <c r="AS1021" s="68"/>
      <c r="AT1021" s="68"/>
      <c r="AU1021" s="68"/>
      <c r="AV1021" s="68"/>
      <c r="AW1021" s="68"/>
      <c r="AX1021" s="3">
        <v>9</v>
      </c>
      <c r="AY1021" s="200">
        <f t="shared" si="53"/>
        <v>0</v>
      </c>
      <c r="AZ1021" s="1255">
        <v>0.01</v>
      </c>
    </row>
    <row r="1022" spans="1:52" ht="13" customHeight="1">
      <c r="A1022" s="14"/>
      <c r="B1022" s="81"/>
      <c r="C1022" s="84"/>
      <c r="D1022" s="1700" t="s">
        <v>1294</v>
      </c>
      <c r="E1022" s="1701"/>
      <c r="F1022" s="1701"/>
      <c r="G1022" s="1701"/>
      <c r="H1022" s="1701"/>
      <c r="I1022" s="1701"/>
      <c r="J1022" s="1701"/>
      <c r="K1022" s="1701"/>
      <c r="L1022" s="1701"/>
      <c r="M1022" s="1701"/>
      <c r="N1022" s="1701"/>
      <c r="O1022" s="1701"/>
      <c r="P1022" s="1701"/>
      <c r="Q1022" s="1701"/>
      <c r="R1022" s="1701"/>
      <c r="S1022" s="1701"/>
      <c r="T1022" s="1701"/>
      <c r="U1022" s="1701"/>
      <c r="V1022" s="1701"/>
      <c r="W1022" s="1701"/>
      <c r="X1022" s="1701"/>
      <c r="Y1022" s="1701"/>
      <c r="Z1022" s="1701"/>
      <c r="AA1022" s="1701"/>
      <c r="AB1022" s="1701"/>
      <c r="AC1022" s="1701"/>
      <c r="AD1022" s="1701"/>
      <c r="AE1022" s="1702"/>
      <c r="AF1022" s="1834"/>
      <c r="AG1022" s="1835"/>
      <c r="AH1022" s="1835"/>
      <c r="AI1022" s="1836"/>
      <c r="AJ1022" s="1732"/>
      <c r="AK1022" s="1733"/>
      <c r="AL1022" s="1733"/>
      <c r="AM1022" s="1733"/>
      <c r="AN1022" s="1733"/>
      <c r="AO1022" s="1733"/>
      <c r="AP1022" s="1733"/>
      <c r="AQ1022" s="1734"/>
      <c r="AR1022" s="68"/>
      <c r="AS1022" s="68"/>
      <c r="AT1022" s="68"/>
      <c r="AU1022" s="68"/>
      <c r="AV1022" s="68"/>
      <c r="AW1022" s="68"/>
      <c r="AX1022" s="3">
        <v>10</v>
      </c>
      <c r="AY1022" s="200">
        <f t="shared" si="53"/>
        <v>0</v>
      </c>
      <c r="AZ1022" s="1255">
        <v>0.02</v>
      </c>
    </row>
    <row r="1023" spans="1:52" ht="13" customHeight="1">
      <c r="A1023" s="14"/>
      <c r="B1023" s="81"/>
      <c r="C1023" s="84"/>
      <c r="D1023" s="1700"/>
      <c r="E1023" s="1701"/>
      <c r="F1023" s="1701"/>
      <c r="G1023" s="1701"/>
      <c r="H1023" s="1701"/>
      <c r="I1023" s="1701"/>
      <c r="J1023" s="1701"/>
      <c r="K1023" s="1701"/>
      <c r="L1023" s="1701"/>
      <c r="M1023" s="1701"/>
      <c r="N1023" s="1701"/>
      <c r="O1023" s="1701"/>
      <c r="P1023" s="1701"/>
      <c r="Q1023" s="1701"/>
      <c r="R1023" s="1701"/>
      <c r="S1023" s="1701"/>
      <c r="T1023" s="1701"/>
      <c r="U1023" s="1701"/>
      <c r="V1023" s="1701"/>
      <c r="W1023" s="1701"/>
      <c r="X1023" s="1701"/>
      <c r="Y1023" s="1701"/>
      <c r="Z1023" s="1701"/>
      <c r="AA1023" s="1701"/>
      <c r="AB1023" s="1701"/>
      <c r="AC1023" s="1701"/>
      <c r="AD1023" s="1701"/>
      <c r="AE1023" s="1702"/>
      <c r="AF1023" s="1778"/>
      <c r="AG1023" s="1778"/>
      <c r="AH1023" s="1778"/>
      <c r="AI1023" s="1778"/>
      <c r="AJ1023" s="1732"/>
      <c r="AK1023" s="1733"/>
      <c r="AL1023" s="1733"/>
      <c r="AM1023" s="1733"/>
      <c r="AN1023" s="1733"/>
      <c r="AO1023" s="1733"/>
      <c r="AP1023" s="1733"/>
      <c r="AQ1023" s="1734"/>
      <c r="AR1023" s="68"/>
      <c r="AS1023" s="68"/>
      <c r="AT1023" s="68"/>
      <c r="AU1023" s="68"/>
      <c r="AV1023" s="68"/>
      <c r="AW1023" s="68"/>
      <c r="AX1023" s="3">
        <v>11</v>
      </c>
      <c r="AY1023" s="200">
        <f t="shared" si="53"/>
        <v>0</v>
      </c>
      <c r="AZ1023" s="1255">
        <v>0.02</v>
      </c>
    </row>
    <row r="1024" spans="1:52" ht="13" customHeight="1">
      <c r="A1024" s="14"/>
      <c r="B1024" s="81"/>
      <c r="C1024" s="84"/>
      <c r="D1024" s="526" t="s">
        <v>359</v>
      </c>
      <c r="E1024" s="90"/>
      <c r="F1024" s="90"/>
      <c r="G1024" s="104"/>
      <c r="H1024" s="104"/>
      <c r="I1024" s="49"/>
      <c r="J1024" s="1826" t="s">
        <v>592</v>
      </c>
      <c r="K1024" s="1827"/>
      <c r="L1024" s="1827"/>
      <c r="M1024" s="1827"/>
      <c r="N1024" s="1827"/>
      <c r="O1024" s="1827"/>
      <c r="P1024" s="1827"/>
      <c r="Q1024" s="1827"/>
      <c r="R1024" s="1827"/>
      <c r="S1024" s="1827"/>
      <c r="T1024" s="1827"/>
      <c r="U1024" s="1827"/>
      <c r="V1024" s="1827"/>
      <c r="W1024" s="1827"/>
      <c r="X1024" s="1827"/>
      <c r="Y1024" s="1827"/>
      <c r="Z1024" s="1827"/>
      <c r="AA1024" s="1827"/>
      <c r="AB1024" s="1827"/>
      <c r="AC1024" s="1827"/>
      <c r="AD1024" s="1827"/>
      <c r="AE1024" s="1828"/>
      <c r="AF1024" s="1778"/>
      <c r="AG1024" s="1778"/>
      <c r="AH1024" s="1778"/>
      <c r="AI1024" s="1778"/>
      <c r="AJ1024" s="1735"/>
      <c r="AK1024" s="1736"/>
      <c r="AL1024" s="1736"/>
      <c r="AM1024" s="1736"/>
      <c r="AN1024" s="1736"/>
      <c r="AO1024" s="1736"/>
      <c r="AP1024" s="1736"/>
      <c r="AQ1024" s="1737"/>
      <c r="AR1024" s="68"/>
      <c r="AS1024" s="68"/>
      <c r="AT1024" s="68"/>
      <c r="AU1024" s="68"/>
      <c r="AV1024" s="68"/>
      <c r="AW1024" s="68"/>
      <c r="AX1024" s="1032" t="s">
        <v>2608</v>
      </c>
      <c r="AY1024" s="201">
        <f>IF(SUM(AY1015:AY1023)&lt;=0.2,SUM(AY1015:AY1023),0.2)</f>
        <v>0</v>
      </c>
    </row>
    <row r="1025" spans="1:57" ht="13" customHeight="1">
      <c r="A1025" s="14"/>
      <c r="B1025" s="79"/>
      <c r="C1025" s="80" t="s">
        <v>229</v>
      </c>
      <c r="D1025" s="1769" t="s">
        <v>1295</v>
      </c>
      <c r="E1025" s="1770"/>
      <c r="F1025" s="1770"/>
      <c r="G1025" s="1770"/>
      <c r="H1025" s="1770"/>
      <c r="I1025" s="1770"/>
      <c r="J1025" s="1770"/>
      <c r="K1025" s="1770"/>
      <c r="L1025" s="1770"/>
      <c r="M1025" s="1770"/>
      <c r="N1025" s="1770"/>
      <c r="O1025" s="1770"/>
      <c r="P1025" s="1770"/>
      <c r="Q1025" s="1770"/>
      <c r="R1025" s="1770"/>
      <c r="S1025" s="1770"/>
      <c r="T1025" s="1770"/>
      <c r="U1025" s="1770"/>
      <c r="V1025" s="1770"/>
      <c r="W1025" s="1770"/>
      <c r="X1025" s="1770"/>
      <c r="Y1025" s="1770"/>
      <c r="Z1025" s="1770"/>
      <c r="AA1025" s="1770"/>
      <c r="AB1025" s="1770"/>
      <c r="AC1025" s="1770"/>
      <c r="AD1025" s="1770"/>
      <c r="AE1025" s="1771"/>
      <c r="AF1025" s="79"/>
      <c r="AG1025" s="1755" t="s">
        <v>546</v>
      </c>
      <c r="AH1025" s="1756"/>
      <c r="AI1025" s="87"/>
      <c r="AJ1025" s="1729">
        <f>ROUND(IF(AG1025="Yes",AF1027,0),0)</f>
        <v>1970204</v>
      </c>
      <c r="AK1025" s="1730"/>
      <c r="AL1025" s="1730"/>
      <c r="AM1025" s="1730"/>
      <c r="AN1025" s="1730"/>
      <c r="AO1025" s="1730"/>
      <c r="AP1025" s="1730"/>
      <c r="AQ1025" s="1731"/>
      <c r="AR1025" s="68"/>
      <c r="AS1025" s="68"/>
      <c r="AT1025" s="68"/>
      <c r="AU1025" s="68"/>
      <c r="AV1025" s="68"/>
      <c r="AW1025" s="68"/>
      <c r="AX1025" s="68"/>
      <c r="AY1025" s="68"/>
    </row>
    <row r="1026" spans="1:57" ht="13" customHeight="1">
      <c r="A1026" s="14"/>
      <c r="B1026" s="73"/>
      <c r="C1026" s="74"/>
      <c r="D1026" s="1700" t="s">
        <v>1691</v>
      </c>
      <c r="E1026" s="1701"/>
      <c r="F1026" s="1701"/>
      <c r="G1026" s="1701"/>
      <c r="H1026" s="1701"/>
      <c r="I1026" s="1701"/>
      <c r="J1026" s="1701"/>
      <c r="K1026" s="1701"/>
      <c r="L1026" s="1701"/>
      <c r="M1026" s="1701"/>
      <c r="N1026" s="1701"/>
      <c r="O1026" s="1701"/>
      <c r="P1026" s="1701"/>
      <c r="Q1026" s="1701"/>
      <c r="R1026" s="1701"/>
      <c r="S1026" s="1701"/>
      <c r="T1026" s="1701"/>
      <c r="U1026" s="1701"/>
      <c r="V1026" s="1701"/>
      <c r="W1026" s="1701"/>
      <c r="X1026" s="1701"/>
      <c r="Y1026" s="1701"/>
      <c r="Z1026" s="1701"/>
      <c r="AA1026" s="1701"/>
      <c r="AB1026" s="1701"/>
      <c r="AC1026" s="1701"/>
      <c r="AD1026" s="1701"/>
      <c r="AE1026" s="1702"/>
      <c r="AF1026" s="1823" t="str">
        <f>IF(AG1025="yes","Enter Amount:","")</f>
        <v>Enter Amount:</v>
      </c>
      <c r="AG1026" s="1824"/>
      <c r="AH1026" s="1824"/>
      <c r="AI1026" s="1825"/>
      <c r="AJ1026" s="1732"/>
      <c r="AK1026" s="1733"/>
      <c r="AL1026" s="1733"/>
      <c r="AM1026" s="1733"/>
      <c r="AN1026" s="1733"/>
      <c r="AO1026" s="1733"/>
      <c r="AP1026" s="1733"/>
      <c r="AQ1026" s="1734"/>
      <c r="AR1026" s="68"/>
      <c r="AS1026" s="68"/>
      <c r="AT1026" s="68"/>
      <c r="AU1026" s="68"/>
      <c r="AV1026" s="68"/>
      <c r="AW1026" s="68"/>
      <c r="AX1026" s="68"/>
      <c r="AY1026" s="68"/>
    </row>
    <row r="1027" spans="1:57" ht="13" customHeight="1">
      <c r="A1027" s="14"/>
      <c r="B1027" s="73"/>
      <c r="C1027" s="74"/>
      <c r="D1027" s="1700"/>
      <c r="E1027" s="1701"/>
      <c r="F1027" s="1701"/>
      <c r="G1027" s="1701"/>
      <c r="H1027" s="1701"/>
      <c r="I1027" s="1701"/>
      <c r="J1027" s="1701"/>
      <c r="K1027" s="1701"/>
      <c r="L1027" s="1701"/>
      <c r="M1027" s="1701"/>
      <c r="N1027" s="1701"/>
      <c r="O1027" s="1701"/>
      <c r="P1027" s="1701"/>
      <c r="Q1027" s="1701"/>
      <c r="R1027" s="1701"/>
      <c r="S1027" s="1701"/>
      <c r="T1027" s="1701"/>
      <c r="U1027" s="1701"/>
      <c r="V1027" s="1701"/>
      <c r="W1027" s="1701"/>
      <c r="X1027" s="1701"/>
      <c r="Y1027" s="1701"/>
      <c r="Z1027" s="1701"/>
      <c r="AA1027" s="1701"/>
      <c r="AB1027" s="1701"/>
      <c r="AC1027" s="1701"/>
      <c r="AD1027" s="1701"/>
      <c r="AE1027" s="1702"/>
      <c r="AF1027" s="1778">
        <f>'Sources and Uses Budget'!C85</f>
        <v>1970204</v>
      </c>
      <c r="AG1027" s="1778"/>
      <c r="AH1027" s="1778"/>
      <c r="AI1027" s="1778"/>
      <c r="AJ1027" s="1732"/>
      <c r="AK1027" s="1733"/>
      <c r="AL1027" s="1733"/>
      <c r="AM1027" s="1733"/>
      <c r="AN1027" s="1733"/>
      <c r="AO1027" s="1733"/>
      <c r="AP1027" s="1733"/>
      <c r="AQ1027" s="1734"/>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7"/>
      <c r="E1028" s="1748"/>
      <c r="F1028" s="1748"/>
      <c r="G1028" s="1748"/>
      <c r="H1028" s="1748"/>
      <c r="I1028" s="1748"/>
      <c r="J1028" s="1748"/>
      <c r="K1028" s="1748"/>
      <c r="L1028" s="1748"/>
      <c r="M1028" s="1748"/>
      <c r="N1028" s="1748"/>
      <c r="O1028" s="1748"/>
      <c r="P1028" s="1748"/>
      <c r="Q1028" s="1748"/>
      <c r="R1028" s="1748"/>
      <c r="S1028" s="1748"/>
      <c r="T1028" s="1748"/>
      <c r="U1028" s="1748"/>
      <c r="V1028" s="1748"/>
      <c r="W1028" s="1748"/>
      <c r="X1028" s="1748"/>
      <c r="Y1028" s="1748"/>
      <c r="Z1028" s="1748"/>
      <c r="AA1028" s="1748"/>
      <c r="AB1028" s="1748"/>
      <c r="AC1028" s="1748"/>
      <c r="AD1028" s="1748"/>
      <c r="AE1028" s="1749"/>
      <c r="AF1028" s="1778"/>
      <c r="AG1028" s="1778"/>
      <c r="AH1028" s="1778"/>
      <c r="AI1028" s="1778"/>
      <c r="AJ1028" s="1735"/>
      <c r="AK1028" s="1736"/>
      <c r="AL1028" s="1736"/>
      <c r="AM1028" s="1736"/>
      <c r="AN1028" s="1736"/>
      <c r="AO1028" s="1736"/>
      <c r="AP1028" s="1736"/>
      <c r="AQ1028" s="1737"/>
      <c r="AR1028" s="68"/>
      <c r="AS1028" s="68"/>
      <c r="AT1028" s="68"/>
      <c r="AU1028" s="68"/>
      <c r="AV1028" s="68"/>
      <c r="AW1028" s="68"/>
      <c r="AX1028" s="68"/>
      <c r="AY1028" s="68"/>
    </row>
    <row r="1029" spans="1:57" ht="13" customHeight="1">
      <c r="A1029" s="14"/>
      <c r="B1029" s="79"/>
      <c r="C1029" s="80" t="s">
        <v>234</v>
      </c>
      <c r="D1029" s="1738" t="s">
        <v>1296</v>
      </c>
      <c r="E1029" s="1739"/>
      <c r="F1029" s="1739"/>
      <c r="G1029" s="1739"/>
      <c r="H1029" s="1739"/>
      <c r="I1029" s="1739"/>
      <c r="J1029" s="1739"/>
      <c r="K1029" s="1739"/>
      <c r="L1029" s="1739"/>
      <c r="M1029" s="1739"/>
      <c r="N1029" s="1739"/>
      <c r="O1029" s="1739"/>
      <c r="P1029" s="1739"/>
      <c r="Q1029" s="1739"/>
      <c r="R1029" s="1739"/>
      <c r="S1029" s="1739"/>
      <c r="T1029" s="1739"/>
      <c r="U1029" s="1739"/>
      <c r="V1029" s="1739"/>
      <c r="W1029" s="1739"/>
      <c r="X1029" s="1739"/>
      <c r="Y1029" s="1739"/>
      <c r="Z1029" s="1739"/>
      <c r="AA1029" s="1739"/>
      <c r="AB1029" s="1739"/>
      <c r="AC1029" s="1739"/>
      <c r="AD1029" s="1739"/>
      <c r="AE1029" s="1740"/>
      <c r="AF1029" s="79"/>
      <c r="AG1029" s="1755" t="s">
        <v>546</v>
      </c>
      <c r="AH1029" s="1756"/>
      <c r="AI1029" s="87"/>
      <c r="AJ1029" s="1729">
        <f>ROUND(IF(AG1029="yes",(AJ992*0.1),0),0)</f>
        <v>4375954</v>
      </c>
      <c r="AK1029" s="1730"/>
      <c r="AL1029" s="1730"/>
      <c r="AM1029" s="1730"/>
      <c r="AN1029" s="1730"/>
      <c r="AO1029" s="1730"/>
      <c r="AP1029" s="1730"/>
      <c r="AQ1029" s="1731"/>
      <c r="AR1029" s="68"/>
      <c r="AS1029" s="68"/>
      <c r="AT1029" s="68"/>
      <c r="AU1029" s="68"/>
      <c r="AV1029" s="68"/>
      <c r="AW1029" s="68"/>
      <c r="AX1029" s="68"/>
      <c r="AY1029" s="68"/>
    </row>
    <row r="1030" spans="1:57" ht="13" customHeight="1">
      <c r="A1030" s="14"/>
      <c r="B1030" s="73"/>
      <c r="C1030" s="74"/>
      <c r="D1030" s="1700" t="s">
        <v>1297</v>
      </c>
      <c r="E1030" s="1701"/>
      <c r="F1030" s="1701"/>
      <c r="G1030" s="1701"/>
      <c r="H1030" s="1701"/>
      <c r="I1030" s="1701"/>
      <c r="J1030" s="1701"/>
      <c r="K1030" s="1701"/>
      <c r="L1030" s="1701"/>
      <c r="M1030" s="1701"/>
      <c r="N1030" s="1701"/>
      <c r="O1030" s="1701"/>
      <c r="P1030" s="1701"/>
      <c r="Q1030" s="1701"/>
      <c r="R1030" s="1701"/>
      <c r="S1030" s="1701"/>
      <c r="T1030" s="1701"/>
      <c r="U1030" s="1701"/>
      <c r="V1030" s="1701"/>
      <c r="W1030" s="1701"/>
      <c r="X1030" s="1701"/>
      <c r="Y1030" s="1701"/>
      <c r="Z1030" s="1701"/>
      <c r="AA1030" s="1701"/>
      <c r="AB1030" s="1701"/>
      <c r="AC1030" s="1701"/>
      <c r="AD1030" s="1701"/>
      <c r="AE1030" s="1702"/>
      <c r="AF1030" s="73"/>
      <c r="AG1030" s="14"/>
      <c r="AH1030" s="14"/>
      <c r="AI1030" s="83"/>
      <c r="AJ1030" s="1732"/>
      <c r="AK1030" s="1733"/>
      <c r="AL1030" s="1733"/>
      <c r="AM1030" s="1733"/>
      <c r="AN1030" s="1733"/>
      <c r="AO1030" s="1733"/>
      <c r="AP1030" s="1733"/>
      <c r="AQ1030" s="1734"/>
      <c r="AR1030" s="68"/>
      <c r="AS1030" s="68"/>
      <c r="AT1030" s="68"/>
      <c r="AU1030" s="68"/>
      <c r="AV1030" s="68"/>
      <c r="AW1030" s="68"/>
      <c r="AX1030" s="68"/>
      <c r="AY1030" s="68"/>
    </row>
    <row r="1031" spans="1:57" ht="13" customHeight="1">
      <c r="A1031" s="14"/>
      <c r="B1031" s="77"/>
      <c r="C1031" s="74"/>
      <c r="D1031" s="1747"/>
      <c r="E1031" s="1748"/>
      <c r="F1031" s="1748"/>
      <c r="G1031" s="1748"/>
      <c r="H1031" s="1748"/>
      <c r="I1031" s="1748"/>
      <c r="J1031" s="1748"/>
      <c r="K1031" s="1748"/>
      <c r="L1031" s="1748"/>
      <c r="M1031" s="1748"/>
      <c r="N1031" s="1748"/>
      <c r="O1031" s="1748"/>
      <c r="P1031" s="1748"/>
      <c r="Q1031" s="1748"/>
      <c r="R1031" s="1748"/>
      <c r="S1031" s="1748"/>
      <c r="T1031" s="1748"/>
      <c r="U1031" s="1748"/>
      <c r="V1031" s="1748"/>
      <c r="W1031" s="1748"/>
      <c r="X1031" s="1748"/>
      <c r="Y1031" s="1748"/>
      <c r="Z1031" s="1748"/>
      <c r="AA1031" s="1748"/>
      <c r="AB1031" s="1748"/>
      <c r="AC1031" s="1748"/>
      <c r="AD1031" s="1748"/>
      <c r="AE1031" s="1749"/>
      <c r="AF1031" s="73"/>
      <c r="AG1031" s="14"/>
      <c r="AH1031" s="14"/>
      <c r="AI1031" s="83"/>
      <c r="AJ1031" s="1735"/>
      <c r="AK1031" s="1736"/>
      <c r="AL1031" s="1736"/>
      <c r="AM1031" s="1736"/>
      <c r="AN1031" s="1736"/>
      <c r="AO1031" s="1736"/>
      <c r="AP1031" s="1736"/>
      <c r="AQ1031" s="1737"/>
      <c r="AR1031" s="68"/>
      <c r="AS1031" s="68"/>
      <c r="AT1031" s="68"/>
      <c r="AU1031" s="68"/>
      <c r="AV1031" s="68"/>
      <c r="AW1031" s="68"/>
      <c r="AX1031" s="68"/>
      <c r="AY1031" s="68"/>
    </row>
    <row r="1032" spans="1:57" ht="13" customHeight="1">
      <c r="A1032" s="14"/>
      <c r="B1032" s="73"/>
      <c r="C1032" s="339" t="s">
        <v>688</v>
      </c>
      <c r="D1032" s="1769" t="s">
        <v>1687</v>
      </c>
      <c r="E1032" s="1770"/>
      <c r="F1032" s="1770"/>
      <c r="G1032" s="1770"/>
      <c r="H1032" s="1770"/>
      <c r="I1032" s="1770"/>
      <c r="J1032" s="1770"/>
      <c r="K1032" s="1770"/>
      <c r="L1032" s="1770"/>
      <c r="M1032" s="1770"/>
      <c r="N1032" s="1770"/>
      <c r="O1032" s="1770"/>
      <c r="P1032" s="1770"/>
      <c r="Q1032" s="1770"/>
      <c r="R1032" s="1770"/>
      <c r="S1032" s="1770"/>
      <c r="T1032" s="1770"/>
      <c r="U1032" s="1770"/>
      <c r="V1032" s="1770"/>
      <c r="W1032" s="1770"/>
      <c r="X1032" s="1770"/>
      <c r="Y1032" s="1770"/>
      <c r="Z1032" s="1770"/>
      <c r="AA1032" s="1770"/>
      <c r="AB1032" s="1770"/>
      <c r="AC1032" s="1770"/>
      <c r="AD1032" s="1770"/>
      <c r="AE1032" s="1771"/>
      <c r="AF1032" s="79"/>
      <c r="AG1032" s="1755" t="s">
        <v>670</v>
      </c>
      <c r="AH1032" s="1756"/>
      <c r="AI1032" s="87"/>
      <c r="AJ1032" s="1729">
        <f>ROUND(IF(AG1032="yes",(AJ992*0.15),0),0)</f>
        <v>0</v>
      </c>
      <c r="AK1032" s="1730"/>
      <c r="AL1032" s="1730"/>
      <c r="AM1032" s="1730"/>
      <c r="AN1032" s="1730"/>
      <c r="AO1032" s="1730"/>
      <c r="AP1032" s="1730"/>
      <c r="AQ1032" s="1731"/>
      <c r="AR1032" s="68"/>
      <c r="AS1032" s="68"/>
      <c r="AT1032" s="68"/>
      <c r="AU1032" s="68"/>
      <c r="AV1032" s="68"/>
      <c r="AW1032" s="68"/>
      <c r="AX1032" s="68"/>
      <c r="AY1032" s="68"/>
    </row>
    <row r="1033" spans="1:57" ht="13" customHeight="1">
      <c r="A1033" s="14"/>
      <c r="B1033" s="73"/>
      <c r="C1033" s="74"/>
      <c r="D1033" s="1806" t="s">
        <v>1688</v>
      </c>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807"/>
      <c r="AF1033" s="915"/>
      <c r="AG1033" s="916"/>
      <c r="AH1033" s="916"/>
      <c r="AI1033" s="917"/>
      <c r="AJ1033" s="1732"/>
      <c r="AK1033" s="1733"/>
      <c r="AL1033" s="1733"/>
      <c r="AM1033" s="1733"/>
      <c r="AN1033" s="1733"/>
      <c r="AO1033" s="1733"/>
      <c r="AP1033" s="1733"/>
      <c r="AQ1033" s="1734"/>
      <c r="AR1033" s="68"/>
      <c r="AS1033" s="68"/>
      <c r="AT1033" s="68"/>
      <c r="AU1033" s="68"/>
      <c r="AV1033" s="68"/>
      <c r="AW1033" s="68"/>
      <c r="AX1033" s="68"/>
      <c r="AY1033" s="68"/>
    </row>
    <row r="1034" spans="1:57" ht="13" customHeight="1">
      <c r="A1034" s="14"/>
      <c r="B1034" s="73"/>
      <c r="C1034" s="74"/>
      <c r="D1034" s="1806"/>
      <c r="E1034" s="1269"/>
      <c r="F1034" s="1269"/>
      <c r="G1034" s="1269"/>
      <c r="H1034" s="1269"/>
      <c r="I1034" s="1269"/>
      <c r="J1034" s="1269"/>
      <c r="K1034" s="1269"/>
      <c r="L1034" s="1269"/>
      <c r="M1034" s="1269"/>
      <c r="N1034" s="1269"/>
      <c r="O1034" s="1269"/>
      <c r="P1034" s="1269"/>
      <c r="Q1034" s="1269"/>
      <c r="R1034" s="1269"/>
      <c r="S1034" s="1269"/>
      <c r="T1034" s="1269"/>
      <c r="U1034" s="1269"/>
      <c r="V1034" s="1269"/>
      <c r="W1034" s="1269"/>
      <c r="X1034" s="1269"/>
      <c r="Y1034" s="1269"/>
      <c r="Z1034" s="1269"/>
      <c r="AA1034" s="1269"/>
      <c r="AB1034" s="1269"/>
      <c r="AC1034" s="1269"/>
      <c r="AD1034" s="1269"/>
      <c r="AE1034" s="1807"/>
      <c r="AF1034" s="915"/>
      <c r="AG1034" s="916"/>
      <c r="AH1034" s="916"/>
      <c r="AI1034" s="917"/>
      <c r="AJ1034" s="1732"/>
      <c r="AK1034" s="1733"/>
      <c r="AL1034" s="1733"/>
      <c r="AM1034" s="1733"/>
      <c r="AN1034" s="1733"/>
      <c r="AO1034" s="1733"/>
      <c r="AP1034" s="1733"/>
      <c r="AQ1034" s="1734"/>
      <c r="AR1034" s="68"/>
      <c r="AS1034" s="68"/>
      <c r="AT1034" s="68"/>
      <c r="AU1034" s="68"/>
      <c r="AV1034" s="68"/>
      <c r="AW1034" s="68"/>
      <c r="AX1034" s="68"/>
      <c r="AY1034" s="68"/>
    </row>
    <row r="1035" spans="1:57" ht="13" customHeight="1">
      <c r="A1035" s="14"/>
      <c r="B1035" s="73"/>
      <c r="C1035" s="74"/>
      <c r="D1035" s="1808"/>
      <c r="E1035" s="1809"/>
      <c r="F1035" s="1809"/>
      <c r="G1035" s="1809"/>
      <c r="H1035" s="1809"/>
      <c r="I1035" s="1809"/>
      <c r="J1035" s="1809"/>
      <c r="K1035" s="1809"/>
      <c r="L1035" s="1809"/>
      <c r="M1035" s="1809"/>
      <c r="N1035" s="1809"/>
      <c r="O1035" s="1809"/>
      <c r="P1035" s="1809"/>
      <c r="Q1035" s="1809"/>
      <c r="R1035" s="1809"/>
      <c r="S1035" s="1809"/>
      <c r="T1035" s="1809"/>
      <c r="U1035" s="1809"/>
      <c r="V1035" s="1809"/>
      <c r="W1035" s="1809"/>
      <c r="X1035" s="1809"/>
      <c r="Y1035" s="1809"/>
      <c r="Z1035" s="1809"/>
      <c r="AA1035" s="1809"/>
      <c r="AB1035" s="1809"/>
      <c r="AC1035" s="1809"/>
      <c r="AD1035" s="1809"/>
      <c r="AE1035" s="1810"/>
      <c r="AF1035" s="918"/>
      <c r="AG1035" s="919"/>
      <c r="AH1035" s="919"/>
      <c r="AI1035" s="920"/>
      <c r="AJ1035" s="1735"/>
      <c r="AK1035" s="1736"/>
      <c r="AL1035" s="1736"/>
      <c r="AM1035" s="1736"/>
      <c r="AN1035" s="1736"/>
      <c r="AO1035" s="1736"/>
      <c r="AP1035" s="1736"/>
      <c r="AQ1035" s="1737"/>
      <c r="AR1035" s="68"/>
      <c r="AS1035" s="68"/>
      <c r="AT1035" s="68"/>
      <c r="AU1035" s="68"/>
      <c r="AV1035" s="68"/>
      <c r="AW1035" s="68"/>
      <c r="AX1035" s="68"/>
      <c r="AY1035" s="68"/>
    </row>
    <row r="1036" spans="1:57" ht="13" customHeight="1">
      <c r="A1036" s="14"/>
      <c r="B1036" s="73"/>
      <c r="C1036" s="339" t="s">
        <v>688</v>
      </c>
      <c r="D1036" s="1738" t="s">
        <v>1689</v>
      </c>
      <c r="E1036" s="1739"/>
      <c r="F1036" s="1739"/>
      <c r="G1036" s="1739"/>
      <c r="H1036" s="1739"/>
      <c r="I1036" s="1739"/>
      <c r="J1036" s="1739"/>
      <c r="K1036" s="1739"/>
      <c r="L1036" s="1739"/>
      <c r="M1036" s="1739"/>
      <c r="N1036" s="1739"/>
      <c r="O1036" s="1739"/>
      <c r="P1036" s="1739"/>
      <c r="Q1036" s="1739"/>
      <c r="R1036" s="1739"/>
      <c r="S1036" s="1739"/>
      <c r="T1036" s="1739"/>
      <c r="U1036" s="1739"/>
      <c r="V1036" s="1739"/>
      <c r="W1036" s="1739"/>
      <c r="X1036" s="1739"/>
      <c r="Y1036" s="1739"/>
      <c r="Z1036" s="1739"/>
      <c r="AA1036" s="1739"/>
      <c r="AB1036" s="1739"/>
      <c r="AC1036" s="1739"/>
      <c r="AD1036" s="1739"/>
      <c r="AE1036" s="1740"/>
      <c r="AF1036" s="73"/>
      <c r="AG1036" s="1757" t="s">
        <v>546</v>
      </c>
      <c r="AH1036" s="1758"/>
      <c r="AI1036" s="83"/>
      <c r="AJ1036" s="1729">
        <f>ROUND(IF(AND(AG1036="yes",AJ1032=0),(AJ992*0.1),0),0)</f>
        <v>4375954</v>
      </c>
      <c r="AK1036" s="1730"/>
      <c r="AL1036" s="1730"/>
      <c r="AM1036" s="1730"/>
      <c r="AN1036" s="1730"/>
      <c r="AO1036" s="1730"/>
      <c r="AP1036" s="1730"/>
      <c r="AQ1036" s="1731"/>
      <c r="AR1036" s="68"/>
      <c r="AS1036" s="68"/>
      <c r="AT1036" s="68"/>
      <c r="AU1036" s="68"/>
      <c r="AV1036" s="68"/>
      <c r="AW1036" s="68"/>
      <c r="AX1036" s="68"/>
      <c r="AY1036" s="68"/>
    </row>
    <row r="1037" spans="1:57" ht="13" customHeight="1">
      <c r="A1037" s="14"/>
      <c r="B1037" s="73"/>
      <c r="C1037" s="74"/>
      <c r="D1037" s="1806" t="s">
        <v>1690</v>
      </c>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807"/>
      <c r="AF1037" s="73"/>
      <c r="AG1037" s="14"/>
      <c r="AH1037" s="14"/>
      <c r="AI1037" s="83"/>
      <c r="AJ1037" s="1732"/>
      <c r="AK1037" s="1733"/>
      <c r="AL1037" s="1733"/>
      <c r="AM1037" s="1733"/>
      <c r="AN1037" s="1733"/>
      <c r="AO1037" s="1733"/>
      <c r="AP1037" s="1733"/>
      <c r="AQ1037" s="1734"/>
      <c r="AR1037" s="68"/>
      <c r="AS1037" s="68"/>
      <c r="AT1037" s="68"/>
      <c r="AU1037" s="68"/>
      <c r="AV1037" s="68"/>
      <c r="AW1037" s="68"/>
      <c r="AX1037" s="68"/>
      <c r="AY1037" s="68"/>
    </row>
    <row r="1038" spans="1:57" ht="13" customHeight="1">
      <c r="A1038" s="14"/>
      <c r="B1038" s="73"/>
      <c r="C1038" s="74"/>
      <c r="D1038" s="1806"/>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807"/>
      <c r="AF1038" s="73"/>
      <c r="AG1038" s="14"/>
      <c r="AH1038" s="14"/>
      <c r="AI1038" s="83"/>
      <c r="AJ1038" s="1732"/>
      <c r="AK1038" s="1733"/>
      <c r="AL1038" s="1733"/>
      <c r="AM1038" s="1733"/>
      <c r="AN1038" s="1733"/>
      <c r="AO1038" s="1733"/>
      <c r="AP1038" s="1733"/>
      <c r="AQ1038" s="1734"/>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3" customHeight="1">
      <c r="A1039" s="14"/>
      <c r="B1039" s="73"/>
      <c r="C1039" s="74"/>
      <c r="D1039" s="1806"/>
      <c r="E1039" s="1269"/>
      <c r="F1039" s="1269"/>
      <c r="G1039" s="1269"/>
      <c r="H1039" s="1269"/>
      <c r="I1039" s="1269"/>
      <c r="J1039" s="1269"/>
      <c r="K1039" s="1269"/>
      <c r="L1039" s="1269"/>
      <c r="M1039" s="1269"/>
      <c r="N1039" s="1269"/>
      <c r="O1039" s="1269"/>
      <c r="P1039" s="1269"/>
      <c r="Q1039" s="1269"/>
      <c r="R1039" s="1269"/>
      <c r="S1039" s="1269"/>
      <c r="T1039" s="1269"/>
      <c r="U1039" s="1269"/>
      <c r="V1039" s="1269"/>
      <c r="W1039" s="1269"/>
      <c r="X1039" s="1269"/>
      <c r="Y1039" s="1269"/>
      <c r="Z1039" s="1269"/>
      <c r="AA1039" s="1269"/>
      <c r="AB1039" s="1269"/>
      <c r="AC1039" s="1269"/>
      <c r="AD1039" s="1269"/>
      <c r="AE1039" s="1807"/>
      <c r="AF1039" s="73"/>
      <c r="AG1039" s="14"/>
      <c r="AH1039" s="14"/>
      <c r="AI1039" s="83"/>
      <c r="AJ1039" s="1732"/>
      <c r="AK1039" s="1733"/>
      <c r="AL1039" s="1733"/>
      <c r="AM1039" s="1733"/>
      <c r="AN1039" s="1733"/>
      <c r="AO1039" s="1733"/>
      <c r="AP1039" s="1733"/>
      <c r="AQ1039" s="1734"/>
      <c r="AR1039" s="68"/>
      <c r="AS1039" s="68"/>
      <c r="AT1039" s="68"/>
      <c r="AU1039" s="68"/>
      <c r="AV1039" s="68"/>
      <c r="AW1039" s="68"/>
      <c r="AX1039" s="68"/>
      <c r="AY1039" s="68"/>
      <c r="BA1039">
        <f>IFERROR((($CI$753+$CM$753)/$AG$440),0)</f>
        <v>0.23595505617977527</v>
      </c>
      <c r="BB1039" s="3" t="s">
        <v>2495</v>
      </c>
    </row>
    <row r="1040" spans="1:57" ht="13" customHeight="1">
      <c r="A1040" s="14"/>
      <c r="B1040" s="73"/>
      <c r="C1040" s="74"/>
      <c r="D1040" s="1808"/>
      <c r="E1040" s="1809"/>
      <c r="F1040" s="1809"/>
      <c r="G1040" s="1809"/>
      <c r="H1040" s="1809"/>
      <c r="I1040" s="1809"/>
      <c r="J1040" s="1809"/>
      <c r="K1040" s="1809"/>
      <c r="L1040" s="1809"/>
      <c r="M1040" s="1809"/>
      <c r="N1040" s="1809"/>
      <c r="O1040" s="1809"/>
      <c r="P1040" s="1809"/>
      <c r="Q1040" s="1809"/>
      <c r="R1040" s="1809"/>
      <c r="S1040" s="1809"/>
      <c r="T1040" s="1809"/>
      <c r="U1040" s="1809"/>
      <c r="V1040" s="1809"/>
      <c r="W1040" s="1809"/>
      <c r="X1040" s="1809"/>
      <c r="Y1040" s="1809"/>
      <c r="Z1040" s="1809"/>
      <c r="AA1040" s="1809"/>
      <c r="AB1040" s="1809"/>
      <c r="AC1040" s="1809"/>
      <c r="AD1040" s="1809"/>
      <c r="AE1040" s="1810"/>
      <c r="AF1040" s="73"/>
      <c r="AG1040" s="14"/>
      <c r="AH1040" s="14"/>
      <c r="AI1040" s="83"/>
      <c r="AJ1040" s="1732"/>
      <c r="AK1040" s="1733"/>
      <c r="AL1040" s="1733"/>
      <c r="AM1040" s="1733"/>
      <c r="AN1040" s="1733"/>
      <c r="AO1040" s="1733"/>
      <c r="AP1040" s="1733"/>
      <c r="AQ1040" s="1734"/>
      <c r="AR1040" s="68"/>
      <c r="AS1040" s="68"/>
      <c r="AT1040" s="68"/>
      <c r="AU1040" s="68"/>
      <c r="AV1040" s="68"/>
      <c r="AW1040" s="68"/>
      <c r="AX1040" s="68"/>
      <c r="AY1040" s="68"/>
      <c r="BA1040" t="b">
        <f>'Points System'!AJ164="Yes"</f>
        <v>0</v>
      </c>
      <c r="BB1040" s="3" t="s">
        <v>2492</v>
      </c>
    </row>
    <row r="1041" spans="1:56" ht="13" customHeight="1">
      <c r="A1041" s="14"/>
      <c r="B1041" s="79"/>
      <c r="C1041" s="131" t="s">
        <v>1011</v>
      </c>
      <c r="D1041" s="1769" t="s">
        <v>1298</v>
      </c>
      <c r="E1041" s="1770"/>
      <c r="F1041" s="1770"/>
      <c r="G1041" s="1770"/>
      <c r="H1041" s="1770"/>
      <c r="I1041" s="1770"/>
      <c r="J1041" s="1770"/>
      <c r="K1041" s="1770"/>
      <c r="L1041" s="1770"/>
      <c r="M1041" s="1770"/>
      <c r="N1041" s="1770"/>
      <c r="O1041" s="1770"/>
      <c r="P1041" s="1770"/>
      <c r="Q1041" s="1770"/>
      <c r="R1041" s="1770"/>
      <c r="S1041" s="1770"/>
      <c r="T1041" s="1770"/>
      <c r="U1041" s="1770"/>
      <c r="V1041" s="1770"/>
      <c r="W1041" s="1770"/>
      <c r="X1041" s="1770"/>
      <c r="Y1041" s="1770"/>
      <c r="Z1041" s="1770"/>
      <c r="AA1041" s="1770"/>
      <c r="AB1041" s="1770"/>
      <c r="AC1041" s="1770"/>
      <c r="AD1041" s="1770"/>
      <c r="AE1041" s="1771"/>
      <c r="AF1041" s="79"/>
      <c r="AG1041" s="1755" t="s">
        <v>546</v>
      </c>
      <c r="AH1041" s="1756"/>
      <c r="AI1041" s="87"/>
      <c r="AJ1041" s="1729">
        <f>ROUND(IF(AG1041="yes",(AJ992*0.1),0),0)</f>
        <v>4375954</v>
      </c>
      <c r="AK1041" s="1730"/>
      <c r="AL1041" s="1730"/>
      <c r="AM1041" s="1730"/>
      <c r="AN1041" s="1730"/>
      <c r="AO1041" s="1730"/>
      <c r="AP1041" s="1730"/>
      <c r="AQ1041" s="1731"/>
      <c r="AR1041" s="68"/>
      <c r="AS1041" s="68"/>
      <c r="AT1041" s="68"/>
      <c r="AU1041" s="68"/>
      <c r="AV1041" s="68"/>
      <c r="AW1041" s="68"/>
      <c r="AX1041" s="68"/>
      <c r="AY1041" s="68"/>
      <c r="BA1041">
        <f>Q212</f>
        <v>0</v>
      </c>
      <c r="BB1041" s="3" t="s">
        <v>2493</v>
      </c>
    </row>
    <row r="1042" spans="1:56" ht="13" customHeight="1">
      <c r="A1042" s="14"/>
      <c r="B1042" s="73"/>
      <c r="C1042" s="74"/>
      <c r="D1042" s="1700" t="s">
        <v>2146</v>
      </c>
      <c r="E1042" s="1701"/>
      <c r="F1042" s="1701"/>
      <c r="G1042" s="1701"/>
      <c r="H1042" s="1701"/>
      <c r="I1042" s="1701"/>
      <c r="J1042" s="1701"/>
      <c r="K1042" s="1701"/>
      <c r="L1042" s="1701"/>
      <c r="M1042" s="1701"/>
      <c r="N1042" s="1701"/>
      <c r="O1042" s="1701"/>
      <c r="P1042" s="1701"/>
      <c r="Q1042" s="1701"/>
      <c r="R1042" s="1701"/>
      <c r="S1042" s="1701"/>
      <c r="T1042" s="1701"/>
      <c r="U1042" s="1701"/>
      <c r="V1042" s="1701"/>
      <c r="W1042" s="1701"/>
      <c r="X1042" s="1701"/>
      <c r="Y1042" s="1701"/>
      <c r="Z1042" s="1701"/>
      <c r="AA1042" s="1701"/>
      <c r="AB1042" s="1701"/>
      <c r="AC1042" s="1701"/>
      <c r="AD1042" s="1701"/>
      <c r="AE1042" s="1702"/>
      <c r="AF1042" s="73"/>
      <c r="AG1042" s="14"/>
      <c r="AH1042" s="14"/>
      <c r="AI1042" s="83"/>
      <c r="AJ1042" s="1732"/>
      <c r="AK1042" s="1733"/>
      <c r="AL1042" s="1733"/>
      <c r="AM1042" s="1733"/>
      <c r="AN1042" s="1733"/>
      <c r="AO1042" s="1733"/>
      <c r="AP1042" s="1733"/>
      <c r="AQ1042" s="1734"/>
      <c r="AR1042" s="68"/>
      <c r="AS1042" s="68"/>
      <c r="AT1042" s="68"/>
      <c r="AU1042" s="68"/>
      <c r="AV1042" s="68"/>
      <c r="AW1042" s="68"/>
      <c r="AX1042" s="68"/>
      <c r="AY1042" s="68"/>
      <c r="BA1042" s="1184">
        <f>T212</f>
        <v>0</v>
      </c>
      <c r="BB1042" s="3" t="s">
        <v>2494</v>
      </c>
    </row>
    <row r="1043" spans="1:56" ht="13" customHeight="1">
      <c r="A1043" s="14"/>
      <c r="B1043" s="73"/>
      <c r="C1043" s="74"/>
      <c r="D1043" s="1700"/>
      <c r="E1043" s="1701"/>
      <c r="F1043" s="1701"/>
      <c r="G1043" s="1701"/>
      <c r="H1043" s="1701"/>
      <c r="I1043" s="1701"/>
      <c r="J1043" s="1701"/>
      <c r="K1043" s="1701"/>
      <c r="L1043" s="1701"/>
      <c r="M1043" s="1701"/>
      <c r="N1043" s="1701"/>
      <c r="O1043" s="1701"/>
      <c r="P1043" s="1701"/>
      <c r="Q1043" s="1701"/>
      <c r="R1043" s="1701"/>
      <c r="S1043" s="1701"/>
      <c r="T1043" s="1701"/>
      <c r="U1043" s="1701"/>
      <c r="V1043" s="1701"/>
      <c r="W1043" s="1701"/>
      <c r="X1043" s="1701"/>
      <c r="Y1043" s="1701"/>
      <c r="Z1043" s="1701"/>
      <c r="AA1043" s="1701"/>
      <c r="AB1043" s="1701"/>
      <c r="AC1043" s="1701"/>
      <c r="AD1043" s="1701"/>
      <c r="AE1043" s="1702"/>
      <c r="AF1043" s="73"/>
      <c r="AG1043" s="14"/>
      <c r="AH1043" s="14"/>
      <c r="AI1043" s="83"/>
      <c r="AJ1043" s="1732"/>
      <c r="AK1043" s="1733"/>
      <c r="AL1043" s="1733"/>
      <c r="AM1043" s="1733"/>
      <c r="AN1043" s="1733"/>
      <c r="AO1043" s="1733"/>
      <c r="AP1043" s="1733"/>
      <c r="AQ1043" s="1734"/>
      <c r="AR1043" s="68"/>
      <c r="AS1043" s="68"/>
      <c r="AT1043" s="68"/>
      <c r="AU1043" s="68"/>
      <c r="AV1043" s="68"/>
      <c r="AW1043" s="68"/>
      <c r="AX1043" s="68"/>
      <c r="AY1043" s="68"/>
    </row>
    <row r="1044" spans="1:56" ht="13" customHeight="1">
      <c r="A1044" s="14"/>
      <c r="B1044" s="73"/>
      <c r="C1044" s="74"/>
      <c r="D1044" s="1747"/>
      <c r="E1044" s="1748"/>
      <c r="F1044" s="1748"/>
      <c r="G1044" s="1748"/>
      <c r="H1044" s="1748"/>
      <c r="I1044" s="1748"/>
      <c r="J1044" s="1748"/>
      <c r="K1044" s="1748"/>
      <c r="L1044" s="1748"/>
      <c r="M1044" s="1748"/>
      <c r="N1044" s="1748"/>
      <c r="O1044" s="1748"/>
      <c r="P1044" s="1748"/>
      <c r="Q1044" s="1748"/>
      <c r="R1044" s="1748"/>
      <c r="S1044" s="1748"/>
      <c r="T1044" s="1748"/>
      <c r="U1044" s="1748"/>
      <c r="V1044" s="1748"/>
      <c r="W1044" s="1748"/>
      <c r="X1044" s="1748"/>
      <c r="Y1044" s="1748"/>
      <c r="Z1044" s="1748"/>
      <c r="AA1044" s="1748"/>
      <c r="AB1044" s="1748"/>
      <c r="AC1044" s="1748"/>
      <c r="AD1044" s="1748"/>
      <c r="AE1044" s="1749"/>
      <c r="AF1044" s="73"/>
      <c r="AG1044" s="14"/>
      <c r="AH1044" s="14"/>
      <c r="AI1044" s="83"/>
      <c r="AJ1044" s="1735"/>
      <c r="AK1044" s="1736"/>
      <c r="AL1044" s="1736"/>
      <c r="AM1044" s="1736"/>
      <c r="AN1044" s="1736"/>
      <c r="AO1044" s="1736"/>
      <c r="AP1044" s="1736"/>
      <c r="AQ1044" s="1737"/>
      <c r="AR1044" s="68"/>
      <c r="AS1044" s="68"/>
      <c r="AT1044" s="68"/>
      <c r="AU1044" s="68"/>
      <c r="AV1044" s="68"/>
      <c r="AW1044" s="68"/>
      <c r="AX1044" s="68"/>
      <c r="AY1044" s="68"/>
    </row>
    <row r="1045" spans="1:56" ht="13" customHeight="1">
      <c r="A1045" s="14"/>
      <c r="B1045" s="79"/>
      <c r="C1045" s="131" t="s">
        <v>1685</v>
      </c>
      <c r="D1045" s="1738" t="s">
        <v>1866</v>
      </c>
      <c r="E1045" s="1739"/>
      <c r="F1045" s="1739"/>
      <c r="G1045" s="1739"/>
      <c r="H1045" s="1739"/>
      <c r="I1045" s="1739"/>
      <c r="J1045" s="1739"/>
      <c r="K1045" s="1739"/>
      <c r="L1045" s="1739"/>
      <c r="M1045" s="1739"/>
      <c r="N1045" s="1739"/>
      <c r="O1045" s="1739"/>
      <c r="P1045" s="1739"/>
      <c r="Q1045" s="1739"/>
      <c r="R1045" s="1739"/>
      <c r="S1045" s="1739"/>
      <c r="T1045" s="1739"/>
      <c r="U1045" s="1739"/>
      <c r="V1045" s="1739"/>
      <c r="W1045" s="1739"/>
      <c r="X1045" s="1739"/>
      <c r="Y1045" s="1739"/>
      <c r="Z1045" s="1739"/>
      <c r="AA1045" s="1739"/>
      <c r="AB1045" s="1739"/>
      <c r="AC1045" s="1739"/>
      <c r="AD1045" s="1739"/>
      <c r="AE1045" s="1740"/>
      <c r="AF1045" s="79"/>
      <c r="AG1045" s="1753" t="str">
        <f>IF(X1048&gt;0,"Yes","No")</f>
        <v>Yes</v>
      </c>
      <c r="AH1045" s="1754"/>
      <c r="AI1045" s="87"/>
      <c r="AJ1045" s="1729">
        <f>IF((X1048=0),0,AY1005*AJ992)</f>
        <v>4813549.7300000004</v>
      </c>
      <c r="AK1045" s="1730"/>
      <c r="AL1045" s="1730"/>
      <c r="AM1045" s="1730"/>
      <c r="AN1045" s="1730"/>
      <c r="AO1045" s="1730"/>
      <c r="AP1045" s="1730"/>
      <c r="AQ1045" s="1731"/>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3" customHeight="1">
      <c r="A1046" s="14"/>
      <c r="B1046" s="73"/>
      <c r="C1046" s="442"/>
      <c r="D1046" s="1700" t="s">
        <v>1300</v>
      </c>
      <c r="E1046" s="1701"/>
      <c r="F1046" s="1701"/>
      <c r="G1046" s="1701"/>
      <c r="H1046" s="1701"/>
      <c r="I1046" s="1701"/>
      <c r="J1046" s="1701"/>
      <c r="K1046" s="1701"/>
      <c r="L1046" s="1701"/>
      <c r="M1046" s="1701"/>
      <c r="N1046" s="1701"/>
      <c r="O1046" s="1701"/>
      <c r="P1046" s="1701"/>
      <c r="Q1046" s="1701"/>
      <c r="R1046" s="1701"/>
      <c r="S1046" s="1701"/>
      <c r="T1046" s="1701"/>
      <c r="U1046" s="1701"/>
      <c r="V1046" s="1701"/>
      <c r="W1046" s="1701"/>
      <c r="X1046" s="1701"/>
      <c r="Y1046" s="1701"/>
      <c r="Z1046" s="1701"/>
      <c r="AA1046" s="1701"/>
      <c r="AB1046" s="1701"/>
      <c r="AC1046" s="1701"/>
      <c r="AD1046" s="1701"/>
      <c r="AE1046" s="1702"/>
      <c r="AF1046" s="73"/>
      <c r="AG1046" s="443"/>
      <c r="AH1046" s="443"/>
      <c r="AI1046" s="83"/>
      <c r="AJ1046" s="1732"/>
      <c r="AK1046" s="1733"/>
      <c r="AL1046" s="1733"/>
      <c r="AM1046" s="1733"/>
      <c r="AN1046" s="1733"/>
      <c r="AO1046" s="1733"/>
      <c r="AP1046" s="1733"/>
      <c r="AQ1046" s="1734"/>
      <c r="AR1046" s="68"/>
      <c r="AS1046" s="68"/>
      <c r="AT1046" s="68"/>
      <c r="AU1046" s="13"/>
      <c r="AV1046" s="68"/>
      <c r="AW1046" s="68"/>
      <c r="AX1046" s="68"/>
      <c r="AY1046" s="68"/>
      <c r="AZ1046" s="962">
        <f>'Sources and Uses Budget'!S97*BA1046</f>
        <v>6081995.7000000002</v>
      </c>
      <c r="BA1046" s="1182">
        <f>IF(BA1040,20%,15%)</f>
        <v>0.15</v>
      </c>
      <c r="BB1046" s="3" t="s">
        <v>2481</v>
      </c>
      <c r="BC1046" s="3" t="s">
        <v>2482</v>
      </c>
      <c r="BD1046" s="3"/>
    </row>
    <row r="1047" spans="1:56" ht="13" customHeight="1">
      <c r="A1047" s="14"/>
      <c r="B1047" s="73"/>
      <c r="C1047" s="442"/>
      <c r="D1047" s="1700"/>
      <c r="E1047" s="1701"/>
      <c r="F1047" s="1701"/>
      <c r="G1047" s="1701"/>
      <c r="H1047" s="1701"/>
      <c r="I1047" s="1701"/>
      <c r="J1047" s="1701"/>
      <c r="K1047" s="1701"/>
      <c r="L1047" s="1701"/>
      <c r="M1047" s="1701"/>
      <c r="N1047" s="1701"/>
      <c r="O1047" s="1701"/>
      <c r="P1047" s="1701"/>
      <c r="Q1047" s="1701"/>
      <c r="R1047" s="1701"/>
      <c r="S1047" s="1701"/>
      <c r="T1047" s="1701"/>
      <c r="U1047" s="1701"/>
      <c r="V1047" s="1701"/>
      <c r="W1047" s="1701"/>
      <c r="X1047" s="1701"/>
      <c r="Y1047" s="1701"/>
      <c r="Z1047" s="1701"/>
      <c r="AA1047" s="1701"/>
      <c r="AB1047" s="1701"/>
      <c r="AC1047" s="1701"/>
      <c r="AD1047" s="1701"/>
      <c r="AE1047" s="1702"/>
      <c r="AF1047" s="73"/>
      <c r="AG1047" s="443"/>
      <c r="AH1047" s="443"/>
      <c r="AI1047" s="83"/>
      <c r="AJ1047" s="1732"/>
      <c r="AK1047" s="1733"/>
      <c r="AL1047" s="1733"/>
      <c r="AM1047" s="1733"/>
      <c r="AN1047" s="1733"/>
      <c r="AO1047" s="1733"/>
      <c r="AP1047" s="1733"/>
      <c r="AQ1047" s="1734"/>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3" customHeight="1">
      <c r="A1048" s="14"/>
      <c r="B1048" s="77"/>
      <c r="C1048" s="78"/>
      <c r="D1048" s="132" t="s">
        <v>973</v>
      </c>
      <c r="E1048" s="133"/>
      <c r="F1048" s="133"/>
      <c r="G1048" s="133"/>
      <c r="H1048" s="133"/>
      <c r="I1048" s="1792">
        <f>AY1003</f>
        <v>89</v>
      </c>
      <c r="J1048" s="1793"/>
      <c r="K1048" s="7"/>
      <c r="L1048" s="133"/>
      <c r="M1048" s="133"/>
      <c r="N1048" s="133"/>
      <c r="O1048" s="133"/>
      <c r="P1048" s="133"/>
      <c r="Q1048" s="133"/>
      <c r="R1048" s="133"/>
      <c r="S1048" s="133"/>
      <c r="T1048" s="133"/>
      <c r="U1048" s="133"/>
      <c r="V1048" s="134" t="s">
        <v>974</v>
      </c>
      <c r="W1048" s="48"/>
      <c r="X1048" s="1790">
        <f>CI753</f>
        <v>10</v>
      </c>
      <c r="Y1048" s="1791"/>
      <c r="Z1048" s="48"/>
      <c r="AA1048" s="48"/>
      <c r="AB1048" s="48"/>
      <c r="AC1048" s="48"/>
      <c r="AD1048" s="48"/>
      <c r="AE1048" s="49"/>
      <c r="AF1048" s="924"/>
      <c r="AG1048" s="925"/>
      <c r="AH1048" s="925"/>
      <c r="AI1048" s="926"/>
      <c r="AJ1048" s="1735"/>
      <c r="AK1048" s="1736"/>
      <c r="AL1048" s="1736"/>
      <c r="AM1048" s="1736"/>
      <c r="AN1048" s="1736"/>
      <c r="AO1048" s="1736"/>
      <c r="AP1048" s="1736"/>
      <c r="AQ1048" s="1737"/>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3" customHeight="1">
      <c r="A1049" s="14"/>
      <c r="B1049" s="79"/>
      <c r="C1049" s="131" t="s">
        <v>1686</v>
      </c>
      <c r="D1049" s="1769" t="s">
        <v>2172</v>
      </c>
      <c r="E1049" s="1770"/>
      <c r="F1049" s="1770"/>
      <c r="G1049" s="1770"/>
      <c r="H1049" s="1770"/>
      <c r="I1049" s="1770"/>
      <c r="J1049" s="1770"/>
      <c r="K1049" s="1770"/>
      <c r="L1049" s="1770"/>
      <c r="M1049" s="1770"/>
      <c r="N1049" s="1770"/>
      <c r="O1049" s="1770"/>
      <c r="P1049" s="1770"/>
      <c r="Q1049" s="1770"/>
      <c r="R1049" s="1770"/>
      <c r="S1049" s="1770"/>
      <c r="T1049" s="1770"/>
      <c r="U1049" s="1770"/>
      <c r="V1049" s="1770"/>
      <c r="W1049" s="1770"/>
      <c r="X1049" s="1770"/>
      <c r="Y1049" s="1770"/>
      <c r="Z1049" s="1770"/>
      <c r="AA1049" s="1770"/>
      <c r="AB1049" s="1770"/>
      <c r="AC1049" s="1770"/>
      <c r="AD1049" s="1770"/>
      <c r="AE1049" s="1771"/>
      <c r="AF1049" s="73"/>
      <c r="AG1049" s="1753" t="str">
        <f>IF(X1052&gt;0,"Yes","No")</f>
        <v>Yes</v>
      </c>
      <c r="AH1049" s="1754"/>
      <c r="AI1049" s="83"/>
      <c r="AJ1049" s="1729">
        <f>IF((X1052=0),0,(2*AY1006)*AJ992)</f>
        <v>10502290.32</v>
      </c>
      <c r="AK1049" s="1730"/>
      <c r="AL1049" s="1730"/>
      <c r="AM1049" s="1730"/>
      <c r="AN1049" s="1730"/>
      <c r="AO1049" s="1730"/>
      <c r="AP1049" s="1730"/>
      <c r="AQ1049" s="1731"/>
      <c r="AR1049" s="68"/>
      <c r="AS1049" s="68"/>
      <c r="AT1049" s="68"/>
      <c r="AU1049" s="14"/>
      <c r="AV1049" s="68"/>
      <c r="AW1049" s="68"/>
      <c r="AX1049" s="68"/>
      <c r="AY1049" s="68"/>
      <c r="AZ1049" s="962">
        <f>AZ1045*BA1049</f>
        <v>0</v>
      </c>
      <c r="BA1049" s="1182">
        <v>0.15</v>
      </c>
      <c r="BB1049" s="3" t="s">
        <v>2481</v>
      </c>
      <c r="BC1049" s="3" t="s">
        <v>2485</v>
      </c>
      <c r="BD1049" s="3"/>
    </row>
    <row r="1050" spans="1:56" ht="13" customHeight="1">
      <c r="A1050" s="14"/>
      <c r="B1050" s="73"/>
      <c r="C1050" s="442"/>
      <c r="D1050" s="1700" t="s">
        <v>1299</v>
      </c>
      <c r="E1050" s="1701"/>
      <c r="F1050" s="1701"/>
      <c r="G1050" s="1701"/>
      <c r="H1050" s="1701"/>
      <c r="I1050" s="1701"/>
      <c r="J1050" s="1701"/>
      <c r="K1050" s="1701"/>
      <c r="L1050" s="1701"/>
      <c r="M1050" s="1701"/>
      <c r="N1050" s="1701"/>
      <c r="O1050" s="1701"/>
      <c r="P1050" s="1701"/>
      <c r="Q1050" s="1701"/>
      <c r="R1050" s="1701"/>
      <c r="S1050" s="1701"/>
      <c r="T1050" s="1701"/>
      <c r="U1050" s="1701"/>
      <c r="V1050" s="1701"/>
      <c r="W1050" s="1701"/>
      <c r="X1050" s="1701"/>
      <c r="Y1050" s="1701"/>
      <c r="Z1050" s="1701"/>
      <c r="AA1050" s="1701"/>
      <c r="AB1050" s="1701"/>
      <c r="AC1050" s="1701"/>
      <c r="AD1050" s="1701"/>
      <c r="AE1050" s="1702"/>
      <c r="AF1050" s="73"/>
      <c r="AG1050" s="443"/>
      <c r="AH1050" s="443"/>
      <c r="AI1050" s="83"/>
      <c r="AJ1050" s="1732"/>
      <c r="AK1050" s="1733"/>
      <c r="AL1050" s="1733"/>
      <c r="AM1050" s="1733"/>
      <c r="AN1050" s="1733"/>
      <c r="AO1050" s="1733"/>
      <c r="AP1050" s="1733"/>
      <c r="AQ1050" s="1734"/>
      <c r="AR1050" s="68"/>
      <c r="AS1050" s="68"/>
      <c r="AT1050" s="68"/>
      <c r="AU1050" s="68"/>
      <c r="AV1050" s="68"/>
      <c r="AW1050" s="68"/>
      <c r="AX1050" s="68"/>
      <c r="AY1050" s="68"/>
      <c r="AZ1050" s="962"/>
      <c r="BA1050" s="3"/>
      <c r="BB1050" s="3"/>
      <c r="BC1050" s="3"/>
      <c r="BD1050" s="3"/>
    </row>
    <row r="1051" spans="1:56" ht="13" customHeight="1">
      <c r="A1051" s="14"/>
      <c r="B1051" s="73"/>
      <c r="C1051" s="83"/>
      <c r="D1051" s="1700"/>
      <c r="E1051" s="1701"/>
      <c r="F1051" s="1701"/>
      <c r="G1051" s="1701"/>
      <c r="H1051" s="1701"/>
      <c r="I1051" s="1701"/>
      <c r="J1051" s="1701"/>
      <c r="K1051" s="1701"/>
      <c r="L1051" s="1701"/>
      <c r="M1051" s="1701"/>
      <c r="N1051" s="1701"/>
      <c r="O1051" s="1701"/>
      <c r="P1051" s="1701"/>
      <c r="Q1051" s="1701"/>
      <c r="R1051" s="1701"/>
      <c r="S1051" s="1701"/>
      <c r="T1051" s="1701"/>
      <c r="U1051" s="1701"/>
      <c r="V1051" s="1701"/>
      <c r="W1051" s="1701"/>
      <c r="X1051" s="1701"/>
      <c r="Y1051" s="1701"/>
      <c r="Z1051" s="1701"/>
      <c r="AA1051" s="1701"/>
      <c r="AB1051" s="1701"/>
      <c r="AC1051" s="1701"/>
      <c r="AD1051" s="1701"/>
      <c r="AE1051" s="1702"/>
      <c r="AF1051" s="921"/>
      <c r="AG1051" s="922"/>
      <c r="AH1051" s="922"/>
      <c r="AI1051" s="923"/>
      <c r="AJ1051" s="1732"/>
      <c r="AK1051" s="1733"/>
      <c r="AL1051" s="1733"/>
      <c r="AM1051" s="1733"/>
      <c r="AN1051" s="1733"/>
      <c r="AO1051" s="1733"/>
      <c r="AP1051" s="1733"/>
      <c r="AQ1051" s="1734"/>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3" customHeight="1">
      <c r="A1052" s="14"/>
      <c r="B1052" s="77"/>
      <c r="C1052" s="78"/>
      <c r="D1052" s="132" t="s">
        <v>973</v>
      </c>
      <c r="E1052" s="133"/>
      <c r="F1052" s="133"/>
      <c r="G1052" s="133"/>
      <c r="H1052" s="133"/>
      <c r="I1052" s="1792">
        <f>AY1003</f>
        <v>89</v>
      </c>
      <c r="J1052" s="1793"/>
      <c r="K1052" s="14"/>
      <c r="L1052" s="133"/>
      <c r="M1052" s="133"/>
      <c r="N1052" s="133"/>
      <c r="O1052" s="133"/>
      <c r="P1052" s="133"/>
      <c r="Q1052" s="133"/>
      <c r="R1052" s="133"/>
      <c r="S1052" s="133"/>
      <c r="T1052" s="133"/>
      <c r="U1052" s="133"/>
      <c r="V1052" s="134" t="s">
        <v>975</v>
      </c>
      <c r="X1052" s="1790">
        <f>CM753</f>
        <v>11</v>
      </c>
      <c r="Y1052" s="1791"/>
      <c r="AF1052" s="924"/>
      <c r="AG1052" s="925"/>
      <c r="AH1052" s="925"/>
      <c r="AI1052" s="926"/>
      <c r="AJ1052" s="1735"/>
      <c r="AK1052" s="1736"/>
      <c r="AL1052" s="1736"/>
      <c r="AM1052" s="1736"/>
      <c r="AN1052" s="1736"/>
      <c r="AO1052" s="1736"/>
      <c r="AP1052" s="1736"/>
      <c r="AQ1052" s="1737"/>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3" customHeight="1">
      <c r="A1053" s="14"/>
      <c r="B1053" s="102"/>
      <c r="C1053" s="103"/>
      <c r="D1053" s="1788" t="s">
        <v>514</v>
      </c>
      <c r="E1053" s="1788"/>
      <c r="F1053" s="1788"/>
      <c r="G1053" s="1788"/>
      <c r="H1053" s="1788"/>
      <c r="I1053" s="1788"/>
      <c r="J1053" s="1788"/>
      <c r="K1053" s="1788"/>
      <c r="L1053" s="1788"/>
      <c r="M1053" s="1788"/>
      <c r="N1053" s="1788"/>
      <c r="O1053" s="1788"/>
      <c r="P1053" s="1788"/>
      <c r="Q1053" s="1788"/>
      <c r="R1053" s="1788"/>
      <c r="S1053" s="1788"/>
      <c r="T1053" s="1788"/>
      <c r="U1053" s="1788"/>
      <c r="V1053" s="1788"/>
      <c r="W1053" s="1788"/>
      <c r="X1053" s="1788"/>
      <c r="Y1053" s="1788"/>
      <c r="Z1053" s="1788"/>
      <c r="AA1053" s="1788"/>
      <c r="AB1053" s="1788"/>
      <c r="AC1053" s="1788"/>
      <c r="AD1053" s="1788"/>
      <c r="AE1053" s="1788"/>
      <c r="AF1053" s="1788"/>
      <c r="AG1053" s="1788"/>
      <c r="AH1053" s="1788"/>
      <c r="AI1053" s="1789"/>
      <c r="AJ1053" s="1803">
        <f>SUM(AJ992:AQ1052)</f>
        <v>78549403.050000012</v>
      </c>
      <c r="AK1053" s="1804"/>
      <c r="AL1053" s="1804"/>
      <c r="AM1053" s="1804"/>
      <c r="AN1053" s="1804"/>
      <c r="AO1053" s="1804"/>
      <c r="AP1053" s="1804"/>
      <c r="AQ1053" s="1805"/>
      <c r="AR1053" s="68"/>
      <c r="AS1053" s="68"/>
      <c r="AT1053" s="68"/>
      <c r="AU1053" s="68"/>
      <c r="AV1053" s="68"/>
      <c r="AW1053" s="68"/>
      <c r="AX1053" s="68"/>
      <c r="AY1053" s="68"/>
      <c r="AZ1053" s="1181">
        <v>6000000</v>
      </c>
      <c r="BA1053" s="3" t="s">
        <v>2488</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3"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3">
        <f>'Sources and Uses Budget'!S107+'Sources and Uses Budget'!T107</f>
        <v>46628634</v>
      </c>
      <c r="AB1056" s="1343"/>
      <c r="AC1056" s="1343"/>
      <c r="AD1056" s="1343"/>
      <c r="AE1056" s="1343"/>
      <c r="AF1056" s="134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6081995.7000000002</v>
      </c>
      <c r="BB1056" s="3" t="s">
        <v>2490</v>
      </c>
      <c r="BC1056" s="3"/>
      <c r="BD1056" s="3"/>
    </row>
    <row r="1057" spans="1:54" ht="13"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4">
        <f>IFERROR((AA1056-BA1059)/(AJ1053-AJ1045-AJ1049),"")</f>
        <v>0.68075616741697753</v>
      </c>
      <c r="AB1057" s="1345"/>
      <c r="AC1057" s="1345"/>
      <c r="AD1057" s="1345"/>
      <c r="AE1057" s="1345"/>
      <c r="AF1057" s="134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7"/>
      <c r="I1058" s="1347"/>
      <c r="J1058" s="1347"/>
      <c r="K1058" s="1347"/>
      <c r="L1058" s="1347"/>
      <c r="M1058" s="1347"/>
      <c r="N1058" s="1347"/>
      <c r="O1058" s="1347"/>
      <c r="P1058" s="1347"/>
      <c r="Q1058" s="1347"/>
      <c r="R1058" s="1347"/>
      <c r="S1058" s="1347"/>
      <c r="T1058" s="1347"/>
      <c r="U1058" s="1347"/>
      <c r="V1058" s="1347"/>
      <c r="W1058" s="1347"/>
      <c r="X1058" s="1347"/>
      <c r="Y1058" s="1347"/>
      <c r="Z1058" s="1347"/>
      <c r="AA1058" s="1347"/>
      <c r="AB1058" s="1347"/>
      <c r="AC1058" s="1347"/>
      <c r="AD1058" s="1347"/>
      <c r="AE1058" s="1347"/>
      <c r="AF1058" s="1347"/>
      <c r="AG1058" s="1347"/>
      <c r="AH1058" s="1347"/>
      <c r="AI1058" s="1347"/>
      <c r="AJ1058" s="1347"/>
      <c r="AK1058" s="1347"/>
      <c r="AL1058" s="1347"/>
      <c r="AM1058" s="1347"/>
      <c r="AN1058" s="1347"/>
      <c r="AO1058" s="68"/>
      <c r="AP1058" s="68"/>
      <c r="AQ1058" s="68"/>
      <c r="AR1058" s="68"/>
      <c r="AS1058" s="68"/>
      <c r="AT1058" s="68"/>
      <c r="AU1058" s="68"/>
      <c r="AV1058" s="14"/>
      <c r="AW1058" s="14"/>
      <c r="AX1058" s="14"/>
      <c r="AY1058" s="14"/>
      <c r="BA1058" s="1185">
        <f>'Sources and Uses Budget'!$S$104+'Sources and Uses Budget'!$T$104</f>
        <v>6081996</v>
      </c>
      <c r="BB1058" s="3" t="s">
        <v>2496</v>
      </c>
    </row>
    <row r="1059" spans="1:54" ht="13" customHeight="1">
      <c r="A1059" s="14"/>
      <c r="B1059" s="14"/>
      <c r="C1059" s="208"/>
      <c r="D1059" s="858"/>
      <c r="E1059" s="858"/>
      <c r="F1059" s="858"/>
      <c r="G1059" s="1347"/>
      <c r="H1059" s="1347"/>
      <c r="I1059" s="1347"/>
      <c r="J1059" s="1347"/>
      <c r="K1059" s="1347"/>
      <c r="L1059" s="1347"/>
      <c r="M1059" s="1347"/>
      <c r="N1059" s="1347"/>
      <c r="O1059" s="1347"/>
      <c r="P1059" s="1347"/>
      <c r="Q1059" s="1347"/>
      <c r="R1059" s="1347"/>
      <c r="S1059" s="1347"/>
      <c r="T1059" s="1347"/>
      <c r="U1059" s="1347"/>
      <c r="V1059" s="1347"/>
      <c r="W1059" s="1347"/>
      <c r="X1059" s="1347"/>
      <c r="Y1059" s="1347"/>
      <c r="Z1059" s="1347"/>
      <c r="AA1059" s="1347"/>
      <c r="AB1059" s="1347"/>
      <c r="AC1059" s="1347"/>
      <c r="AD1059" s="1347"/>
      <c r="AE1059" s="1347"/>
      <c r="AF1059" s="1347"/>
      <c r="AG1059" s="1347"/>
      <c r="AH1059" s="1347"/>
      <c r="AI1059" s="1347"/>
      <c r="AJ1059" s="1347"/>
      <c r="AK1059" s="1347"/>
      <c r="AL1059" s="1347"/>
      <c r="AM1059" s="1347"/>
      <c r="AN1059" s="1347"/>
      <c r="AO1059" s="68"/>
      <c r="AP1059" s="68"/>
      <c r="AQ1059" s="68"/>
      <c r="AR1059" s="68"/>
      <c r="AS1059" s="68"/>
      <c r="AT1059" s="68"/>
      <c r="AU1059" s="68"/>
      <c r="AV1059" s="14"/>
      <c r="AW1059" s="14"/>
      <c r="AX1059" s="14"/>
      <c r="AY1059" s="14"/>
      <c r="BA1059" s="1186">
        <f>MAX($BA$1058-$BA$1055,0)</f>
        <v>3581996</v>
      </c>
      <c r="BB1059" s="3" t="s">
        <v>2497</v>
      </c>
    </row>
    <row r="1060" spans="1:54" ht="13" customHeight="1">
      <c r="A1060" s="88"/>
      <c r="B1060" s="1172"/>
      <c r="C1060" s="1172"/>
      <c r="D1060" s="1172"/>
      <c r="E1060" s="1172"/>
      <c r="F1060" s="1172"/>
      <c r="G1060" s="1347"/>
      <c r="H1060" s="1347"/>
      <c r="I1060" s="1347"/>
      <c r="J1060" s="1347"/>
      <c r="K1060" s="1347"/>
      <c r="L1060" s="1347"/>
      <c r="M1060" s="1347"/>
      <c r="N1060" s="1347"/>
      <c r="O1060" s="1347"/>
      <c r="P1060" s="1347"/>
      <c r="Q1060" s="1347"/>
      <c r="R1060" s="1347"/>
      <c r="S1060" s="1347"/>
      <c r="T1060" s="1347"/>
      <c r="U1060" s="1347"/>
      <c r="V1060" s="1347"/>
      <c r="W1060" s="1347"/>
      <c r="X1060" s="1347"/>
      <c r="Y1060" s="1347"/>
      <c r="Z1060" s="1347"/>
      <c r="AA1060" s="1347"/>
      <c r="AB1060" s="1347"/>
      <c r="AC1060" s="1347"/>
      <c r="AD1060" s="1347"/>
      <c r="AE1060" s="1347"/>
      <c r="AF1060" s="1347"/>
      <c r="AG1060" s="1347"/>
      <c r="AH1060" s="1347"/>
      <c r="AI1060" s="1347"/>
      <c r="AJ1060" s="1347"/>
      <c r="AK1060" s="1347"/>
      <c r="AL1060" s="1347"/>
      <c r="AM1060" s="1347"/>
      <c r="AN1060" s="1347"/>
      <c r="AO1060" s="1172"/>
      <c r="AP1060" s="1172"/>
      <c r="AQ1060" s="68"/>
      <c r="AR1060" s="68"/>
      <c r="AS1060" s="68"/>
      <c r="AT1060" s="68"/>
      <c r="AU1060" s="68"/>
      <c r="AV1060" s="68"/>
      <c r="AW1060" s="68"/>
      <c r="AX1060" s="68"/>
      <c r="AY1060" s="68"/>
    </row>
    <row r="1061" spans="1:54" ht="13" customHeight="1">
      <c r="A1061" s="1841" t="s">
        <v>795</v>
      </c>
      <c r="B1061" s="1841"/>
      <c r="C1061" s="1841"/>
      <c r="D1061" s="1841"/>
      <c r="E1061" s="1841"/>
      <c r="F1061" s="1841"/>
      <c r="G1061" s="1841"/>
      <c r="H1061" s="1841"/>
      <c r="I1061" s="1841"/>
      <c r="J1061" s="1841"/>
      <c r="K1061" s="1841"/>
      <c r="L1061" s="1841"/>
      <c r="M1061" s="1841"/>
      <c r="N1061" s="1841"/>
      <c r="O1061" s="1841"/>
      <c r="P1061" s="1841"/>
      <c r="Q1061" s="1841"/>
      <c r="R1061" s="1841"/>
      <c r="S1061" s="1841"/>
      <c r="T1061" s="1841"/>
      <c r="U1061" s="1841"/>
      <c r="V1061" s="1841"/>
      <c r="W1061" s="1841"/>
      <c r="X1061" s="1841"/>
      <c r="Y1061" s="1841"/>
      <c r="Z1061" s="1841"/>
      <c r="AA1061" s="1841"/>
      <c r="AB1061" s="1841"/>
      <c r="AC1061" s="1841"/>
      <c r="AD1061" s="1841"/>
      <c r="AE1061" s="1841"/>
      <c r="AF1061" s="1841"/>
      <c r="AG1061" s="1841"/>
      <c r="AH1061" s="1841"/>
      <c r="AI1061" s="1841"/>
      <c r="AJ1061" s="1841"/>
      <c r="AK1061" s="1841"/>
      <c r="AL1061" s="1841"/>
      <c r="AM1061" s="1841"/>
      <c r="AN1061" s="1841"/>
      <c r="AO1061" s="1841"/>
      <c r="AP1061" s="1841"/>
      <c r="AQ1061" s="1841"/>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8" t="s">
        <v>546</v>
      </c>
      <c r="B1065" s="1418"/>
      <c r="C1065" s="1860">
        <v>1</v>
      </c>
      <c r="D1065" s="1860"/>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60"/>
      <c r="D1066" s="1860"/>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8" t="s">
        <v>592</v>
      </c>
      <c r="B1067" s="1418"/>
      <c r="C1067" s="1860">
        <v>2</v>
      </c>
      <c r="D1067" s="1860"/>
      <c r="E1067" s="1862" t="s">
        <v>2240</v>
      </c>
      <c r="F1067" s="1862"/>
      <c r="G1067" s="1862"/>
      <c r="H1067" s="1862"/>
      <c r="I1067" s="1862"/>
      <c r="J1067" s="1862"/>
      <c r="K1067" s="1862"/>
      <c r="L1067" s="1862"/>
      <c r="M1067" s="1862"/>
      <c r="N1067" s="1862"/>
      <c r="O1067" s="1862"/>
      <c r="P1067" s="1862"/>
      <c r="Q1067" s="1862"/>
      <c r="R1067" s="1862"/>
      <c r="S1067" s="1862"/>
      <c r="T1067" s="1862"/>
      <c r="U1067" s="1862"/>
      <c r="V1067" s="1862"/>
      <c r="W1067" s="1862"/>
      <c r="X1067" s="1862"/>
      <c r="Y1067" s="1862"/>
      <c r="Z1067" s="1862"/>
      <c r="AA1067" s="1862"/>
      <c r="AB1067" s="1862"/>
      <c r="AC1067" s="1862"/>
      <c r="AD1067" s="1862"/>
      <c r="AE1067" s="1862"/>
      <c r="AF1067" s="1862"/>
      <c r="AG1067" s="1862"/>
      <c r="AH1067" s="1862"/>
      <c r="AI1067" s="1862"/>
      <c r="AJ1067" s="1862"/>
      <c r="AK1067" s="1862"/>
      <c r="AL1067" s="1862"/>
      <c r="AM1067" s="1862"/>
      <c r="AN1067" s="1862"/>
      <c r="AO1067" s="1862"/>
      <c r="AP1067" s="1862"/>
      <c r="AQ1067" s="1862"/>
      <c r="AR1067" s="1862"/>
      <c r="AS1067" s="14"/>
      <c r="AT1067" s="14"/>
      <c r="AV1067" s="68"/>
      <c r="AW1067" s="68"/>
      <c r="AX1067" s="68"/>
      <c r="AY1067" s="68"/>
    </row>
    <row r="1068" spans="1:54" ht="13" customHeight="1">
      <c r="A1068" s="198"/>
      <c r="B1068" s="67"/>
      <c r="C1068" s="1860"/>
      <c r="D1068" s="1860"/>
      <c r="E1068" s="1862"/>
      <c r="F1068" s="1862"/>
      <c r="G1068" s="1862"/>
      <c r="H1068" s="1862"/>
      <c r="I1068" s="1862"/>
      <c r="J1068" s="1862"/>
      <c r="K1068" s="1862"/>
      <c r="L1068" s="1862"/>
      <c r="M1068" s="1862"/>
      <c r="N1068" s="1862"/>
      <c r="O1068" s="1862"/>
      <c r="P1068" s="1862"/>
      <c r="Q1068" s="1862"/>
      <c r="R1068" s="1862"/>
      <c r="S1068" s="1862"/>
      <c r="T1068" s="1862"/>
      <c r="U1068" s="1862"/>
      <c r="V1068" s="1862"/>
      <c r="W1068" s="1862"/>
      <c r="X1068" s="1862"/>
      <c r="Y1068" s="1862"/>
      <c r="Z1068" s="1862"/>
      <c r="AA1068" s="1862"/>
      <c r="AB1068" s="1862"/>
      <c r="AC1068" s="1862"/>
      <c r="AD1068" s="1862"/>
      <c r="AE1068" s="1862"/>
      <c r="AF1068" s="1862"/>
      <c r="AG1068" s="1862"/>
      <c r="AH1068" s="1862"/>
      <c r="AI1068" s="1862"/>
      <c r="AJ1068" s="1862"/>
      <c r="AK1068" s="1862"/>
      <c r="AL1068" s="1862"/>
      <c r="AM1068" s="1862"/>
      <c r="AN1068" s="1862"/>
      <c r="AO1068" s="1862"/>
      <c r="AP1068" s="1862"/>
      <c r="AQ1068" s="1862"/>
      <c r="AR1068" s="1862"/>
      <c r="AS1068" s="14"/>
      <c r="AT1068" s="14"/>
      <c r="AV1068" s="68"/>
      <c r="AW1068" s="68"/>
      <c r="AX1068" s="68"/>
      <c r="AY1068" s="68"/>
    </row>
    <row r="1069" spans="1:54" ht="13" customHeight="1">
      <c r="A1069" s="198"/>
      <c r="B1069" s="67"/>
      <c r="C1069" s="1860"/>
      <c r="D1069" s="1860"/>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8" t="s">
        <v>592</v>
      </c>
      <c r="B1070" s="1418"/>
      <c r="C1070" s="1408">
        <v>3</v>
      </c>
      <c r="D1070" s="1408"/>
      <c r="E1070" s="1331" t="s">
        <v>1081</v>
      </c>
      <c r="F1070" s="1331"/>
      <c r="G1070" s="1331"/>
      <c r="H1070" s="1331"/>
      <c r="I1070" s="1331"/>
      <c r="J1070" s="1331"/>
      <c r="K1070" s="1331"/>
      <c r="L1070" s="1331"/>
      <c r="M1070" s="1331"/>
      <c r="N1070" s="1331"/>
      <c r="O1070" s="1331"/>
      <c r="P1070" s="1331"/>
      <c r="Q1070" s="1331"/>
      <c r="R1070" s="1331"/>
      <c r="S1070" s="1331"/>
      <c r="T1070" s="1331"/>
      <c r="U1070" s="1331"/>
      <c r="V1070" s="1331"/>
      <c r="W1070" s="1331"/>
      <c r="X1070" s="1331"/>
      <c r="Y1070" s="1331"/>
      <c r="Z1070" s="1331"/>
      <c r="AA1070" s="1331"/>
      <c r="AB1070" s="1331"/>
      <c r="AC1070" s="1331"/>
      <c r="AD1070" s="1331"/>
      <c r="AE1070" s="1331"/>
      <c r="AF1070" s="1331"/>
      <c r="AG1070" s="1331"/>
      <c r="AH1070" s="1331"/>
      <c r="AI1070" s="1331"/>
      <c r="AJ1070" s="1331"/>
      <c r="AK1070" s="1331"/>
      <c r="AL1070" s="1331"/>
      <c r="AM1070" s="1331"/>
      <c r="AN1070" s="1331"/>
      <c r="AO1070" s="1331"/>
      <c r="AP1070" s="1331"/>
      <c r="AQ1070" s="1331"/>
      <c r="AR1070" s="1331"/>
      <c r="AS1070" s="14"/>
      <c r="AT1070" s="68"/>
      <c r="AV1070" s="68"/>
      <c r="AW1070" s="68"/>
      <c r="AX1070" s="68"/>
      <c r="AY1070" s="68"/>
    </row>
    <row r="1071" spans="1:54" ht="13" customHeight="1">
      <c r="A1071" s="1"/>
      <c r="B1071" s="1"/>
      <c r="C1071" s="1408"/>
      <c r="D1071" s="1408"/>
      <c r="E1071" s="1331"/>
      <c r="F1071" s="1331"/>
      <c r="G1071" s="1331"/>
      <c r="H1071" s="1331"/>
      <c r="I1071" s="1331"/>
      <c r="J1071" s="1331"/>
      <c r="K1071" s="1331"/>
      <c r="L1071" s="1331"/>
      <c r="M1071" s="1331"/>
      <c r="N1071" s="1331"/>
      <c r="O1071" s="1331"/>
      <c r="P1071" s="1331"/>
      <c r="Q1071" s="1331"/>
      <c r="R1071" s="1331"/>
      <c r="S1071" s="1331"/>
      <c r="T1071" s="1331"/>
      <c r="U1071" s="1331"/>
      <c r="V1071" s="1331"/>
      <c r="W1071" s="1331"/>
      <c r="X1071" s="1331"/>
      <c r="Y1071" s="1331"/>
      <c r="Z1071" s="1331"/>
      <c r="AA1071" s="1331"/>
      <c r="AB1071" s="1331"/>
      <c r="AC1071" s="1331"/>
      <c r="AD1071" s="1331"/>
      <c r="AE1071" s="1331"/>
      <c r="AF1071" s="1331"/>
      <c r="AG1071" s="1331"/>
      <c r="AH1071" s="1331"/>
      <c r="AI1071" s="1331"/>
      <c r="AJ1071" s="1331"/>
      <c r="AK1071" s="1331"/>
      <c r="AL1071" s="1331"/>
      <c r="AM1071" s="1331"/>
      <c r="AN1071" s="1331"/>
      <c r="AO1071" s="1331"/>
      <c r="AP1071" s="1331"/>
      <c r="AQ1071" s="1331"/>
      <c r="AR1071" s="1331"/>
      <c r="AS1071" s="14"/>
      <c r="AT1071" s="68"/>
      <c r="AV1071" s="68"/>
      <c r="AW1071" s="68"/>
      <c r="AX1071" s="68"/>
      <c r="AY1071" s="68"/>
    </row>
    <row r="1072" spans="1:54" ht="13" customHeight="1">
      <c r="A1072" s="1"/>
      <c r="B1072" s="1"/>
      <c r="C1072" s="1408"/>
      <c r="D1072" s="1408"/>
      <c r="E1072" s="1331"/>
      <c r="F1072" s="1331"/>
      <c r="G1072" s="1331"/>
      <c r="H1072" s="1331"/>
      <c r="I1072" s="1331"/>
      <c r="J1072" s="1331"/>
      <c r="K1072" s="1331"/>
      <c r="L1072" s="1331"/>
      <c r="M1072" s="1331"/>
      <c r="N1072" s="1331"/>
      <c r="O1072" s="1331"/>
      <c r="P1072" s="1331"/>
      <c r="Q1072" s="1331"/>
      <c r="R1072" s="1331"/>
      <c r="S1072" s="1331"/>
      <c r="T1072" s="1331"/>
      <c r="U1072" s="1331"/>
      <c r="V1072" s="1331"/>
      <c r="W1072" s="1331"/>
      <c r="X1072" s="1331"/>
      <c r="Y1072" s="1331"/>
      <c r="Z1072" s="1331"/>
      <c r="AA1072" s="1331"/>
      <c r="AB1072" s="1331"/>
      <c r="AC1072" s="1331"/>
      <c r="AD1072" s="1331"/>
      <c r="AE1072" s="1331"/>
      <c r="AF1072" s="1331"/>
      <c r="AG1072" s="1331"/>
      <c r="AH1072" s="1331"/>
      <c r="AI1072" s="1331"/>
      <c r="AJ1072" s="1331"/>
      <c r="AK1072" s="1331"/>
      <c r="AL1072" s="1331"/>
      <c r="AM1072" s="1331"/>
      <c r="AN1072" s="1331"/>
      <c r="AO1072" s="1331"/>
      <c r="AP1072" s="1331"/>
      <c r="AQ1072" s="1331"/>
      <c r="AR1072" s="1331"/>
      <c r="AS1072" s="14"/>
      <c r="AT1072" s="68"/>
      <c r="AV1072" s="68"/>
      <c r="AW1072" s="68"/>
      <c r="AX1072" s="68"/>
      <c r="AY1072" s="68"/>
    </row>
    <row r="1073" spans="1:51" ht="13" customHeight="1">
      <c r="A1073" s="1"/>
      <c r="B1073" s="1"/>
      <c r="C1073" s="1408"/>
      <c r="D1073" s="1408"/>
      <c r="E1073" s="1331"/>
      <c r="F1073" s="1331"/>
      <c r="G1073" s="1331"/>
      <c r="H1073" s="1331"/>
      <c r="I1073" s="1331"/>
      <c r="J1073" s="1331"/>
      <c r="K1073" s="1331"/>
      <c r="L1073" s="1331"/>
      <c r="M1073" s="1331"/>
      <c r="N1073" s="1331"/>
      <c r="O1073" s="1331"/>
      <c r="P1073" s="1331"/>
      <c r="Q1073" s="1331"/>
      <c r="R1073" s="1331"/>
      <c r="S1073" s="1331"/>
      <c r="T1073" s="1331"/>
      <c r="U1073" s="1331"/>
      <c r="V1073" s="1331"/>
      <c r="W1073" s="1331"/>
      <c r="X1073" s="1331"/>
      <c r="Y1073" s="1331"/>
      <c r="Z1073" s="1331"/>
      <c r="AA1073" s="1331"/>
      <c r="AB1073" s="1331"/>
      <c r="AC1073" s="1331"/>
      <c r="AD1073" s="1331"/>
      <c r="AE1073" s="1331"/>
      <c r="AF1073" s="1331"/>
      <c r="AG1073" s="1331"/>
      <c r="AH1073" s="1331"/>
      <c r="AI1073" s="1331"/>
      <c r="AJ1073" s="1331"/>
      <c r="AK1073" s="1331"/>
      <c r="AL1073" s="1331"/>
      <c r="AM1073" s="1331"/>
      <c r="AN1073" s="1331"/>
      <c r="AO1073" s="1331"/>
      <c r="AP1073" s="1331"/>
      <c r="AQ1073" s="1331"/>
      <c r="AR1073" s="1331"/>
      <c r="AS1073" s="14"/>
      <c r="AT1073" s="68"/>
      <c r="AV1073" s="68"/>
      <c r="AW1073" s="68"/>
      <c r="AX1073" s="68"/>
      <c r="AY1073" s="68"/>
    </row>
    <row r="1074" spans="1:51" ht="13" customHeight="1">
      <c r="A1074" s="2"/>
      <c r="B1074" s="25"/>
      <c r="C1074" s="1408"/>
      <c r="D1074" s="1408"/>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8" t="s">
        <v>592</v>
      </c>
      <c r="B1075" s="1418"/>
      <c r="C1075" s="1408">
        <v>4</v>
      </c>
      <c r="D1075" s="1408"/>
      <c r="E1075" s="1331" t="s">
        <v>1080</v>
      </c>
      <c r="F1075" s="1331"/>
      <c r="G1075" s="1331"/>
      <c r="H1075" s="1331"/>
      <c r="I1075" s="1331"/>
      <c r="J1075" s="1331"/>
      <c r="K1075" s="1331"/>
      <c r="L1075" s="1331"/>
      <c r="M1075" s="1331"/>
      <c r="N1075" s="1331"/>
      <c r="O1075" s="1331"/>
      <c r="P1075" s="1331"/>
      <c r="Q1075" s="1331"/>
      <c r="R1075" s="1331"/>
      <c r="S1075" s="1331"/>
      <c r="T1075" s="1331"/>
      <c r="U1075" s="1331"/>
      <c r="V1075" s="1331"/>
      <c r="W1075" s="1331"/>
      <c r="X1075" s="1331"/>
      <c r="Y1075" s="1331"/>
      <c r="Z1075" s="1331"/>
      <c r="AA1075" s="1331"/>
      <c r="AB1075" s="1331"/>
      <c r="AC1075" s="1331"/>
      <c r="AD1075" s="1331"/>
      <c r="AE1075" s="1331"/>
      <c r="AF1075" s="1331"/>
      <c r="AG1075" s="1331"/>
      <c r="AH1075" s="1331"/>
      <c r="AI1075" s="1331"/>
      <c r="AJ1075" s="1331"/>
      <c r="AK1075" s="1331"/>
      <c r="AL1075" s="1331"/>
      <c r="AM1075" s="1331"/>
      <c r="AN1075" s="1331"/>
      <c r="AO1075" s="1331"/>
      <c r="AP1075" s="1331"/>
      <c r="AQ1075" s="1331"/>
      <c r="AR1075" s="1331"/>
      <c r="AS1075" s="14"/>
      <c r="AT1075" s="68"/>
    </row>
    <row r="1076" spans="1:51" ht="13" customHeight="1">
      <c r="A1076" s="1"/>
      <c r="B1076" s="1"/>
      <c r="C1076" s="1408"/>
      <c r="D1076" s="1408"/>
      <c r="E1076" s="1331"/>
      <c r="F1076" s="1331"/>
      <c r="G1076" s="1331"/>
      <c r="H1076" s="1331"/>
      <c r="I1076" s="1331"/>
      <c r="J1076" s="1331"/>
      <c r="K1076" s="1331"/>
      <c r="L1076" s="1331"/>
      <c r="M1076" s="1331"/>
      <c r="N1076" s="1331"/>
      <c r="O1076" s="1331"/>
      <c r="P1076" s="1331"/>
      <c r="Q1076" s="1331"/>
      <c r="R1076" s="1331"/>
      <c r="S1076" s="1331"/>
      <c r="T1076" s="1331"/>
      <c r="U1076" s="1331"/>
      <c r="V1076" s="1331"/>
      <c r="W1076" s="1331"/>
      <c r="X1076" s="1331"/>
      <c r="Y1076" s="1331"/>
      <c r="Z1076" s="1331"/>
      <c r="AA1076" s="1331"/>
      <c r="AB1076" s="1331"/>
      <c r="AC1076" s="1331"/>
      <c r="AD1076" s="1331"/>
      <c r="AE1076" s="1331"/>
      <c r="AF1076" s="1331"/>
      <c r="AG1076" s="1331"/>
      <c r="AH1076" s="1331"/>
      <c r="AI1076" s="1331"/>
      <c r="AJ1076" s="1331"/>
      <c r="AK1076" s="1331"/>
      <c r="AL1076" s="1331"/>
      <c r="AM1076" s="1331"/>
      <c r="AN1076" s="1331"/>
      <c r="AO1076" s="1331"/>
      <c r="AP1076" s="1331"/>
      <c r="AQ1076" s="1331"/>
      <c r="AR1076" s="1331"/>
      <c r="AS1076" s="14"/>
      <c r="AT1076" s="68"/>
    </row>
    <row r="1077" spans="1:51" ht="13" customHeight="1">
      <c r="A1077" s="1"/>
      <c r="B1077" s="1"/>
      <c r="C1077" s="1408"/>
      <c r="D1077" s="1408"/>
      <c r="E1077" s="1331"/>
      <c r="F1077" s="1331"/>
      <c r="G1077" s="1331"/>
      <c r="H1077" s="1331"/>
      <c r="I1077" s="1331"/>
      <c r="J1077" s="1331"/>
      <c r="K1077" s="1331"/>
      <c r="L1077" s="1331"/>
      <c r="M1077" s="1331"/>
      <c r="N1077" s="1331"/>
      <c r="O1077" s="1331"/>
      <c r="P1077" s="1331"/>
      <c r="Q1077" s="1331"/>
      <c r="R1077" s="1331"/>
      <c r="S1077" s="1331"/>
      <c r="T1077" s="1331"/>
      <c r="U1077" s="1331"/>
      <c r="V1077" s="1331"/>
      <c r="W1077" s="1331"/>
      <c r="X1077" s="1331"/>
      <c r="Y1077" s="1331"/>
      <c r="Z1077" s="1331"/>
      <c r="AA1077" s="1331"/>
      <c r="AB1077" s="1331"/>
      <c r="AC1077" s="1331"/>
      <c r="AD1077" s="1331"/>
      <c r="AE1077" s="1331"/>
      <c r="AF1077" s="1331"/>
      <c r="AG1077" s="1331"/>
      <c r="AH1077" s="1331"/>
      <c r="AI1077" s="1331"/>
      <c r="AJ1077" s="1331"/>
      <c r="AK1077" s="1331"/>
      <c r="AL1077" s="1331"/>
      <c r="AM1077" s="1331"/>
      <c r="AN1077" s="1331"/>
      <c r="AO1077" s="1331"/>
      <c r="AP1077" s="1331"/>
      <c r="AQ1077" s="1331"/>
      <c r="AR1077" s="1331"/>
      <c r="AS1077" s="14"/>
      <c r="AT1077" s="68"/>
    </row>
    <row r="1078" spans="1:51" ht="13" customHeight="1">
      <c r="A1078" s="1"/>
      <c r="B1078" s="1"/>
      <c r="C1078" s="1408"/>
      <c r="D1078" s="1408"/>
      <c r="E1078" s="1331"/>
      <c r="F1078" s="1331"/>
      <c r="G1078" s="1331"/>
      <c r="H1078" s="1331"/>
      <c r="I1078" s="1331"/>
      <c r="J1078" s="1331"/>
      <c r="K1078" s="1331"/>
      <c r="L1078" s="1331"/>
      <c r="M1078" s="1331"/>
      <c r="N1078" s="1331"/>
      <c r="O1078" s="1331"/>
      <c r="P1078" s="1331"/>
      <c r="Q1078" s="1331"/>
      <c r="R1078" s="1331"/>
      <c r="S1078" s="1331"/>
      <c r="T1078" s="1331"/>
      <c r="U1078" s="1331"/>
      <c r="V1078" s="1331"/>
      <c r="W1078" s="1331"/>
      <c r="X1078" s="1331"/>
      <c r="Y1078" s="1331"/>
      <c r="Z1078" s="1331"/>
      <c r="AA1078" s="1331"/>
      <c r="AB1078" s="1331"/>
      <c r="AC1078" s="1331"/>
      <c r="AD1078" s="1331"/>
      <c r="AE1078" s="1331"/>
      <c r="AF1078" s="1331"/>
      <c r="AG1078" s="1331"/>
      <c r="AH1078" s="1331"/>
      <c r="AI1078" s="1331"/>
      <c r="AJ1078" s="1331"/>
      <c r="AK1078" s="1331"/>
      <c r="AL1078" s="1331"/>
      <c r="AM1078" s="1331"/>
      <c r="AN1078" s="1331"/>
      <c r="AO1078" s="1331"/>
      <c r="AP1078" s="1331"/>
      <c r="AQ1078" s="1331"/>
      <c r="AR1078" s="1331"/>
      <c r="AS1078" s="14"/>
      <c r="AT1078" s="68"/>
    </row>
    <row r="1079" spans="1:51" ht="13" customHeight="1">
      <c r="A1079" s="1"/>
      <c r="B1079" s="1"/>
      <c r="C1079" s="1408"/>
      <c r="D1079" s="1408"/>
      <c r="E1079" s="1331"/>
      <c r="F1079" s="1331"/>
      <c r="G1079" s="1331"/>
      <c r="H1079" s="1331"/>
      <c r="I1079" s="1331"/>
      <c r="J1079" s="1331"/>
      <c r="K1079" s="1331"/>
      <c r="L1079" s="1331"/>
      <c r="M1079" s="1331"/>
      <c r="N1079" s="1331"/>
      <c r="O1079" s="1331"/>
      <c r="P1079" s="1331"/>
      <c r="Q1079" s="1331"/>
      <c r="R1079" s="1331"/>
      <c r="S1079" s="1331"/>
      <c r="T1079" s="1331"/>
      <c r="U1079" s="1331"/>
      <c r="V1079" s="1331"/>
      <c r="W1079" s="1331"/>
      <c r="X1079" s="1331"/>
      <c r="Y1079" s="1331"/>
      <c r="Z1079" s="1331"/>
      <c r="AA1079" s="1331"/>
      <c r="AB1079" s="1331"/>
      <c r="AC1079" s="1331"/>
      <c r="AD1079" s="1331"/>
      <c r="AE1079" s="1331"/>
      <c r="AF1079" s="1331"/>
      <c r="AG1079" s="1331"/>
      <c r="AH1079" s="1331"/>
      <c r="AI1079" s="1331"/>
      <c r="AJ1079" s="1331"/>
      <c r="AK1079" s="1331"/>
      <c r="AL1079" s="1331"/>
      <c r="AM1079" s="1331"/>
      <c r="AN1079" s="1331"/>
      <c r="AO1079" s="1331"/>
      <c r="AP1079" s="1331"/>
      <c r="AQ1079" s="1331"/>
      <c r="AR1079" s="1331"/>
      <c r="AS1079" s="14"/>
      <c r="AT1079" s="68"/>
    </row>
    <row r="1080" spans="1:51" ht="13" customHeight="1">
      <c r="A1080" s="1"/>
      <c r="B1080" s="1"/>
      <c r="C1080" s="1408"/>
      <c r="D1080" s="1408"/>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8" t="s">
        <v>592</v>
      </c>
      <c r="B1081" s="1418"/>
      <c r="C1081" s="1408">
        <v>5</v>
      </c>
      <c r="D1081" s="1408"/>
      <c r="E1081" s="1331" t="s">
        <v>2244</v>
      </c>
      <c r="F1081" s="1331"/>
      <c r="G1081" s="1331"/>
      <c r="H1081" s="1331"/>
      <c r="I1081" s="1331"/>
      <c r="J1081" s="1331"/>
      <c r="K1081" s="1331"/>
      <c r="L1081" s="1331"/>
      <c r="M1081" s="1331"/>
      <c r="N1081" s="1331"/>
      <c r="O1081" s="1331"/>
      <c r="P1081" s="1331"/>
      <c r="Q1081" s="1331"/>
      <c r="R1081" s="1331"/>
      <c r="S1081" s="1331"/>
      <c r="T1081" s="1331"/>
      <c r="U1081" s="1331"/>
      <c r="V1081" s="1331"/>
      <c r="W1081" s="1331"/>
      <c r="X1081" s="1331"/>
      <c r="Y1081" s="1331"/>
      <c r="Z1081" s="1331"/>
      <c r="AA1081" s="1331"/>
      <c r="AB1081" s="1331"/>
      <c r="AC1081" s="1331"/>
      <c r="AD1081" s="1331"/>
      <c r="AE1081" s="1331"/>
      <c r="AF1081" s="1331"/>
      <c r="AG1081" s="1331"/>
      <c r="AH1081" s="1331"/>
      <c r="AI1081" s="1331"/>
      <c r="AJ1081" s="1331"/>
      <c r="AK1081" s="1331"/>
      <c r="AL1081" s="1331"/>
      <c r="AM1081" s="1331"/>
      <c r="AN1081" s="1331"/>
      <c r="AO1081" s="1331"/>
      <c r="AP1081" s="1331"/>
      <c r="AQ1081" s="1331"/>
      <c r="AR1081" s="1331"/>
      <c r="AS1081" s="14"/>
    </row>
    <row r="1082" spans="1:51" ht="13" customHeight="1">
      <c r="A1082" s="4"/>
      <c r="B1082" s="4"/>
      <c r="C1082" s="1408"/>
      <c r="D1082" s="1408"/>
      <c r="E1082" s="1331"/>
      <c r="F1082" s="1331"/>
      <c r="G1082" s="1331"/>
      <c r="H1082" s="1331"/>
      <c r="I1082" s="1331"/>
      <c r="J1082" s="1331"/>
      <c r="K1082" s="1331"/>
      <c r="L1082" s="1331"/>
      <c r="M1082" s="1331"/>
      <c r="N1082" s="1331"/>
      <c r="O1082" s="1331"/>
      <c r="P1082" s="1331"/>
      <c r="Q1082" s="1331"/>
      <c r="R1082" s="1331"/>
      <c r="S1082" s="1331"/>
      <c r="T1082" s="1331"/>
      <c r="U1082" s="1331"/>
      <c r="V1082" s="1331"/>
      <c r="W1082" s="1331"/>
      <c r="X1082" s="1331"/>
      <c r="Y1082" s="1331"/>
      <c r="Z1082" s="1331"/>
      <c r="AA1082" s="1331"/>
      <c r="AB1082" s="1331"/>
      <c r="AC1082" s="1331"/>
      <c r="AD1082" s="1331"/>
      <c r="AE1082" s="1331"/>
      <c r="AF1082" s="1331"/>
      <c r="AG1082" s="1331"/>
      <c r="AH1082" s="1331"/>
      <c r="AI1082" s="1331"/>
      <c r="AJ1082" s="1331"/>
      <c r="AK1082" s="1331"/>
      <c r="AL1082" s="1331"/>
      <c r="AM1082" s="1331"/>
      <c r="AN1082" s="1331"/>
      <c r="AO1082" s="1331"/>
      <c r="AP1082" s="1331"/>
      <c r="AQ1082" s="1331"/>
      <c r="AR1082" s="1331"/>
      <c r="AS1082" s="14"/>
    </row>
    <row r="1083" spans="1:51" ht="13" customHeight="1">
      <c r="A1083" s="4"/>
      <c r="B1083" s="4"/>
      <c r="C1083" s="1408"/>
      <c r="D1083" s="1408"/>
      <c r="E1083" s="1331"/>
      <c r="F1083" s="1331"/>
      <c r="G1083" s="1331"/>
      <c r="H1083" s="1331"/>
      <c r="I1083" s="1331"/>
      <c r="J1083" s="1331"/>
      <c r="K1083" s="1331"/>
      <c r="L1083" s="1331"/>
      <c r="M1083" s="1331"/>
      <c r="N1083" s="1331"/>
      <c r="O1083" s="1331"/>
      <c r="P1083" s="1331"/>
      <c r="Q1083" s="1331"/>
      <c r="R1083" s="1331"/>
      <c r="S1083" s="1331"/>
      <c r="T1083" s="1331"/>
      <c r="U1083" s="1331"/>
      <c r="V1083" s="1331"/>
      <c r="W1083" s="1331"/>
      <c r="X1083" s="1331"/>
      <c r="Y1083" s="1331"/>
      <c r="Z1083" s="1331"/>
      <c r="AA1083" s="1331"/>
      <c r="AB1083" s="1331"/>
      <c r="AC1083" s="1331"/>
      <c r="AD1083" s="1331"/>
      <c r="AE1083" s="1331"/>
      <c r="AF1083" s="1331"/>
      <c r="AG1083" s="1331"/>
      <c r="AH1083" s="1331"/>
      <c r="AI1083" s="1331"/>
      <c r="AJ1083" s="1331"/>
      <c r="AK1083" s="1331"/>
      <c r="AL1083" s="1331"/>
      <c r="AM1083" s="1331"/>
      <c r="AN1083" s="1331"/>
      <c r="AO1083" s="1331"/>
      <c r="AP1083" s="1331"/>
      <c r="AQ1083" s="1331"/>
      <c r="AR1083" s="1331"/>
      <c r="AS1083" s="14"/>
    </row>
    <row r="1084" spans="1:51" ht="13" customHeight="1">
      <c r="A1084" s="35"/>
      <c r="B1084" s="25"/>
      <c r="C1084" s="1408"/>
      <c r="D1084" s="1408"/>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8" t="s">
        <v>592</v>
      </c>
      <c r="B1085" s="1418"/>
      <c r="C1085" s="1408">
        <v>6</v>
      </c>
      <c r="D1085" s="1408"/>
      <c r="E1085" s="1331" t="s">
        <v>2245</v>
      </c>
      <c r="F1085" s="1331"/>
      <c r="G1085" s="1331"/>
      <c r="H1085" s="1331"/>
      <c r="I1085" s="1331"/>
      <c r="J1085" s="1331"/>
      <c r="K1085" s="1331"/>
      <c r="L1085" s="1331"/>
      <c r="M1085" s="1331"/>
      <c r="N1085" s="1331"/>
      <c r="O1085" s="1331"/>
      <c r="P1085" s="1331"/>
      <c r="Q1085" s="1331"/>
      <c r="R1085" s="1331"/>
      <c r="S1085" s="1331"/>
      <c r="T1085" s="1331"/>
      <c r="U1085" s="1331"/>
      <c r="V1085" s="1331"/>
      <c r="W1085" s="1331"/>
      <c r="X1085" s="1331"/>
      <c r="Y1085" s="1331"/>
      <c r="Z1085" s="1331"/>
      <c r="AA1085" s="1331"/>
      <c r="AB1085" s="1331"/>
      <c r="AC1085" s="1331"/>
      <c r="AD1085" s="1331"/>
      <c r="AE1085" s="1331"/>
      <c r="AF1085" s="1331"/>
      <c r="AG1085" s="1331"/>
      <c r="AH1085" s="1331"/>
      <c r="AI1085" s="1331"/>
      <c r="AJ1085" s="1331"/>
      <c r="AK1085" s="1331"/>
      <c r="AL1085" s="1331"/>
      <c r="AM1085" s="1331"/>
      <c r="AN1085" s="1331"/>
      <c r="AO1085" s="1331"/>
      <c r="AP1085" s="1331"/>
      <c r="AQ1085" s="1331"/>
      <c r="AR1085" s="1331"/>
      <c r="AS1085" s="14"/>
    </row>
    <row r="1086" spans="1:51" ht="13" customHeight="1">
      <c r="A1086" s="1"/>
      <c r="B1086" s="1"/>
      <c r="C1086" s="1"/>
      <c r="D1086" s="1"/>
      <c r="E1086" s="1331"/>
      <c r="F1086" s="1331"/>
      <c r="G1086" s="1331"/>
      <c r="H1086" s="1331"/>
      <c r="I1086" s="1331"/>
      <c r="J1086" s="1331"/>
      <c r="K1086" s="1331"/>
      <c r="L1086" s="1331"/>
      <c r="M1086" s="1331"/>
      <c r="N1086" s="1331"/>
      <c r="O1086" s="1331"/>
      <c r="P1086" s="1331"/>
      <c r="Q1086" s="1331"/>
      <c r="R1086" s="1331"/>
      <c r="S1086" s="1331"/>
      <c r="T1086" s="1331"/>
      <c r="U1086" s="1331"/>
      <c r="V1086" s="1331"/>
      <c r="W1086" s="1331"/>
      <c r="X1086" s="1331"/>
      <c r="Y1086" s="1331"/>
      <c r="Z1086" s="1331"/>
      <c r="AA1086" s="1331"/>
      <c r="AB1086" s="1331"/>
      <c r="AC1086" s="1331"/>
      <c r="AD1086" s="1331"/>
      <c r="AE1086" s="1331"/>
      <c r="AF1086" s="1331"/>
      <c r="AG1086" s="1331"/>
      <c r="AH1086" s="1331"/>
      <c r="AI1086" s="1331"/>
      <c r="AJ1086" s="1331"/>
      <c r="AK1086" s="1331"/>
      <c r="AL1086" s="1331"/>
      <c r="AM1086" s="1331"/>
      <c r="AN1086" s="1331"/>
      <c r="AO1086" s="1331"/>
      <c r="AP1086" s="1331"/>
      <c r="AQ1086" s="1331"/>
      <c r="AR1086" s="1331"/>
      <c r="AS1086" s="14"/>
    </row>
    <row r="1087" spans="1:51" ht="13" customHeight="1">
      <c r="A1087" s="1"/>
      <c r="B1087" s="1"/>
      <c r="C1087" s="1408"/>
      <c r="D1087" s="1408"/>
      <c r="E1087" s="1331"/>
      <c r="F1087" s="1331"/>
      <c r="G1087" s="1331"/>
      <c r="H1087" s="1331"/>
      <c r="I1087" s="1331"/>
      <c r="J1087" s="1331"/>
      <c r="K1087" s="1331"/>
      <c r="L1087" s="1331"/>
      <c r="M1087" s="1331"/>
      <c r="N1087" s="1331"/>
      <c r="O1087" s="1331"/>
      <c r="P1087" s="1331"/>
      <c r="Q1087" s="1331"/>
      <c r="R1087" s="1331"/>
      <c r="S1087" s="1331"/>
      <c r="T1087" s="1331"/>
      <c r="U1087" s="1331"/>
      <c r="V1087" s="1331"/>
      <c r="W1087" s="1331"/>
      <c r="X1087" s="1331"/>
      <c r="Y1087" s="1331"/>
      <c r="Z1087" s="1331"/>
      <c r="AA1087" s="1331"/>
      <c r="AB1087" s="1331"/>
      <c r="AC1087" s="1331"/>
      <c r="AD1087" s="1331"/>
      <c r="AE1087" s="1331"/>
      <c r="AF1087" s="1331"/>
      <c r="AG1087" s="1331"/>
      <c r="AH1087" s="1331"/>
      <c r="AI1087" s="1331"/>
      <c r="AJ1087" s="1331"/>
      <c r="AK1087" s="1331"/>
      <c r="AL1087" s="1331"/>
      <c r="AM1087" s="1331"/>
      <c r="AN1087" s="1331"/>
      <c r="AO1087" s="1331"/>
      <c r="AP1087" s="1331"/>
      <c r="AQ1087" s="1331"/>
      <c r="AR1087" s="1331"/>
      <c r="AS1087" s="14"/>
    </row>
    <row r="1088" spans="1:51" ht="13" customHeight="1">
      <c r="A1088" s="35"/>
      <c r="B1088" s="25"/>
      <c r="C1088" s="1408"/>
      <c r="D1088" s="1408"/>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8" t="s">
        <v>592</v>
      </c>
      <c r="B1089" s="1418"/>
      <c r="C1089" s="1408">
        <v>7</v>
      </c>
      <c r="D1089" s="1408"/>
      <c r="E1089" s="1331" t="s">
        <v>2140</v>
      </c>
      <c r="F1089" s="1331"/>
      <c r="G1089" s="1331"/>
      <c r="H1089" s="1331"/>
      <c r="I1089" s="1331"/>
      <c r="J1089" s="1331"/>
      <c r="K1089" s="1331"/>
      <c r="L1089" s="1331"/>
      <c r="M1089" s="1331"/>
      <c r="N1089" s="1331"/>
      <c r="O1089" s="1331"/>
      <c r="P1089" s="1331"/>
      <c r="Q1089" s="1331"/>
      <c r="R1089" s="1331"/>
      <c r="S1089" s="1331"/>
      <c r="T1089" s="1331"/>
      <c r="U1089" s="1331"/>
      <c r="V1089" s="1331"/>
      <c r="W1089" s="1331"/>
      <c r="X1089" s="1331"/>
      <c r="Y1089" s="1331"/>
      <c r="Z1089" s="1331"/>
      <c r="AA1089" s="1331"/>
      <c r="AB1089" s="1331"/>
      <c r="AC1089" s="1331"/>
      <c r="AD1089" s="1331"/>
      <c r="AE1089" s="1331"/>
      <c r="AF1089" s="1331"/>
      <c r="AG1089" s="1331"/>
      <c r="AH1089" s="1331"/>
      <c r="AI1089" s="1331"/>
      <c r="AJ1089" s="1331"/>
      <c r="AK1089" s="1331"/>
      <c r="AL1089" s="1331"/>
      <c r="AM1089" s="1331"/>
      <c r="AN1089" s="1331"/>
      <c r="AO1089" s="1331"/>
      <c r="AP1089" s="1331"/>
      <c r="AQ1089" s="1331"/>
      <c r="AR1089" s="1331"/>
      <c r="AS1089" s="14"/>
    </row>
    <row r="1090" spans="1:45" ht="13" customHeight="1">
      <c r="A1090" s="1"/>
      <c r="B1090" s="1"/>
      <c r="C1090" s="1408"/>
      <c r="D1090" s="1408"/>
      <c r="E1090" s="1331"/>
      <c r="F1090" s="1331"/>
      <c r="G1090" s="1331"/>
      <c r="H1090" s="1331"/>
      <c r="I1090" s="1331"/>
      <c r="J1090" s="1331"/>
      <c r="K1090" s="1331"/>
      <c r="L1090" s="1331"/>
      <c r="M1090" s="1331"/>
      <c r="N1090" s="1331"/>
      <c r="O1090" s="1331"/>
      <c r="P1090" s="1331"/>
      <c r="Q1090" s="1331"/>
      <c r="R1090" s="1331"/>
      <c r="S1090" s="1331"/>
      <c r="T1090" s="1331"/>
      <c r="U1090" s="1331"/>
      <c r="V1090" s="1331"/>
      <c r="W1090" s="1331"/>
      <c r="X1090" s="1331"/>
      <c r="Y1090" s="1331"/>
      <c r="Z1090" s="1331"/>
      <c r="AA1090" s="1331"/>
      <c r="AB1090" s="1331"/>
      <c r="AC1090" s="1331"/>
      <c r="AD1090" s="1331"/>
      <c r="AE1090" s="1331"/>
      <c r="AF1090" s="1331"/>
      <c r="AG1090" s="1331"/>
      <c r="AH1090" s="1331"/>
      <c r="AI1090" s="1331"/>
      <c r="AJ1090" s="1331"/>
      <c r="AK1090" s="1331"/>
      <c r="AL1090" s="1331"/>
      <c r="AM1090" s="1331"/>
      <c r="AN1090" s="1331"/>
      <c r="AO1090" s="1331"/>
      <c r="AP1090" s="1331"/>
      <c r="AQ1090" s="1331"/>
      <c r="AR1090" s="1331"/>
      <c r="AS1090" s="14"/>
    </row>
    <row r="1091" spans="1:45" ht="13" customHeight="1">
      <c r="A1091" s="1"/>
      <c r="B1091" s="1"/>
      <c r="C1091" s="1408"/>
      <c r="D1091" s="1408"/>
      <c r="E1091" s="1331"/>
      <c r="F1091" s="1331"/>
      <c r="G1091" s="1331"/>
      <c r="H1091" s="1331"/>
      <c r="I1091" s="1331"/>
      <c r="J1091" s="1331"/>
      <c r="K1091" s="1331"/>
      <c r="L1091" s="1331"/>
      <c r="M1091" s="1331"/>
      <c r="N1091" s="1331"/>
      <c r="O1091" s="1331"/>
      <c r="P1091" s="1331"/>
      <c r="Q1091" s="1331"/>
      <c r="R1091" s="1331"/>
      <c r="S1091" s="1331"/>
      <c r="T1091" s="1331"/>
      <c r="U1091" s="1331"/>
      <c r="V1091" s="1331"/>
      <c r="W1091" s="1331"/>
      <c r="X1091" s="1331"/>
      <c r="Y1091" s="1331"/>
      <c r="Z1091" s="1331"/>
      <c r="AA1091" s="1331"/>
      <c r="AB1091" s="1331"/>
      <c r="AC1091" s="1331"/>
      <c r="AD1091" s="1331"/>
      <c r="AE1091" s="1331"/>
      <c r="AF1091" s="1331"/>
      <c r="AG1091" s="1331"/>
      <c r="AH1091" s="1331"/>
      <c r="AI1091" s="1331"/>
      <c r="AJ1091" s="1331"/>
      <c r="AK1091" s="1331"/>
      <c r="AL1091" s="1331"/>
      <c r="AM1091" s="1331"/>
      <c r="AN1091" s="1331"/>
      <c r="AO1091" s="1331"/>
      <c r="AP1091" s="1331"/>
      <c r="AQ1091" s="1331"/>
      <c r="AR1091" s="1331"/>
      <c r="AS1091" s="14"/>
    </row>
    <row r="1092" spans="1:45" ht="13" customHeight="1">
      <c r="A1092" s="1"/>
      <c r="B1092" s="1"/>
      <c r="C1092" s="1408"/>
      <c r="D1092" s="1408"/>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8"/>
      <c r="D1093" s="1408"/>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8" t="s">
        <v>592</v>
      </c>
      <c r="B1094" s="1418"/>
      <c r="C1094" s="1408">
        <v>8</v>
      </c>
      <c r="D1094" s="1408"/>
      <c r="E1094" s="1331" t="s">
        <v>1074</v>
      </c>
      <c r="F1094" s="1331"/>
      <c r="G1094" s="1331"/>
      <c r="H1094" s="1331"/>
      <c r="I1094" s="1331"/>
      <c r="J1094" s="1331"/>
      <c r="K1094" s="1331"/>
      <c r="L1094" s="1331"/>
      <c r="M1094" s="1331"/>
      <c r="N1094" s="1331"/>
      <c r="O1094" s="1331"/>
      <c r="P1094" s="1331"/>
      <c r="Q1094" s="1331"/>
      <c r="R1094" s="1331"/>
      <c r="S1094" s="1331"/>
      <c r="T1094" s="1331"/>
      <c r="U1094" s="1331"/>
      <c r="V1094" s="1331"/>
      <c r="W1094" s="1331"/>
      <c r="X1094" s="1331"/>
      <c r="Y1094" s="1331"/>
      <c r="Z1094" s="1331"/>
      <c r="AA1094" s="1331"/>
      <c r="AB1094" s="1331"/>
      <c r="AC1094" s="1331"/>
      <c r="AD1094" s="1331"/>
      <c r="AE1094" s="1331"/>
      <c r="AF1094" s="1331"/>
      <c r="AG1094" s="1331"/>
      <c r="AH1094" s="1331"/>
      <c r="AI1094" s="1331"/>
      <c r="AJ1094" s="1331"/>
      <c r="AK1094" s="1331"/>
      <c r="AL1094" s="1331"/>
      <c r="AM1094" s="1331"/>
      <c r="AN1094" s="1331"/>
      <c r="AO1094" s="1331"/>
      <c r="AP1094" s="1331"/>
      <c r="AQ1094" s="1331"/>
      <c r="AR1094" s="1331"/>
    </row>
    <row r="1095" spans="1:45" ht="13" customHeight="1">
      <c r="A1095" s="35"/>
      <c r="B1095" s="25"/>
      <c r="C1095" s="1408"/>
      <c r="D1095" s="1408"/>
      <c r="E1095" s="1331"/>
      <c r="F1095" s="1331"/>
      <c r="G1095" s="1331"/>
      <c r="H1095" s="1331"/>
      <c r="I1095" s="1331"/>
      <c r="J1095" s="1331"/>
      <c r="K1095" s="1331"/>
      <c r="L1095" s="1331"/>
      <c r="M1095" s="1331"/>
      <c r="N1095" s="1331"/>
      <c r="O1095" s="1331"/>
      <c r="P1095" s="1331"/>
      <c r="Q1095" s="1331"/>
      <c r="R1095" s="1331"/>
      <c r="S1095" s="1331"/>
      <c r="T1095" s="1331"/>
      <c r="U1095" s="1331"/>
      <c r="V1095" s="1331"/>
      <c r="W1095" s="1331"/>
      <c r="X1095" s="1331"/>
      <c r="Y1095" s="1331"/>
      <c r="Z1095" s="1331"/>
      <c r="AA1095" s="1331"/>
      <c r="AB1095" s="1331"/>
      <c r="AC1095" s="1331"/>
      <c r="AD1095" s="1331"/>
      <c r="AE1095" s="1331"/>
      <c r="AF1095" s="1331"/>
      <c r="AG1095" s="1331"/>
      <c r="AH1095" s="1331"/>
      <c r="AI1095" s="1331"/>
      <c r="AJ1095" s="1331"/>
      <c r="AK1095" s="1331"/>
      <c r="AL1095" s="1331"/>
      <c r="AM1095" s="1331"/>
      <c r="AN1095" s="1331"/>
      <c r="AO1095" s="1331"/>
      <c r="AP1095" s="1331"/>
      <c r="AQ1095" s="1331"/>
      <c r="AR1095" s="1331"/>
    </row>
    <row r="1096" spans="1:45" ht="13" customHeight="1">
      <c r="A1096" s="35"/>
      <c r="B1096" s="25"/>
      <c r="C1096" s="1408"/>
      <c r="D1096" s="1408"/>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8" t="s">
        <v>592</v>
      </c>
      <c r="B1097" s="1418"/>
      <c r="C1097" s="1860">
        <v>9</v>
      </c>
      <c r="D1097" s="1860"/>
      <c r="E1097" s="1331" t="s">
        <v>1076</v>
      </c>
      <c r="F1097" s="1331"/>
      <c r="G1097" s="1331"/>
      <c r="H1097" s="1331"/>
      <c r="I1097" s="1331"/>
      <c r="J1097" s="1331"/>
      <c r="K1097" s="1331"/>
      <c r="L1097" s="1331"/>
      <c r="M1097" s="1331"/>
      <c r="N1097" s="1331"/>
      <c r="O1097" s="1331"/>
      <c r="P1097" s="1331"/>
      <c r="Q1097" s="1331"/>
      <c r="R1097" s="1331"/>
      <c r="S1097" s="1331"/>
      <c r="T1097" s="1331"/>
      <c r="U1097" s="1331"/>
      <c r="V1097" s="1331"/>
      <c r="W1097" s="1331"/>
      <c r="X1097" s="1331"/>
      <c r="Y1097" s="1331"/>
      <c r="Z1097" s="1331"/>
      <c r="AA1097" s="1331"/>
      <c r="AB1097" s="1331"/>
      <c r="AC1097" s="1331"/>
      <c r="AD1097" s="1331"/>
      <c r="AE1097" s="1331"/>
      <c r="AF1097" s="1331"/>
      <c r="AG1097" s="1331"/>
      <c r="AH1097" s="1331"/>
      <c r="AI1097" s="1331"/>
      <c r="AJ1097" s="1331"/>
      <c r="AK1097" s="1331"/>
      <c r="AL1097" s="1331"/>
      <c r="AM1097" s="1331"/>
      <c r="AN1097" s="1331"/>
      <c r="AO1097" s="1331"/>
      <c r="AP1097" s="1331"/>
      <c r="AQ1097" s="1331"/>
      <c r="AR1097" s="1331"/>
    </row>
    <row r="1098" spans="1:45" ht="13" customHeight="1">
      <c r="A1098" s="1"/>
      <c r="B1098" s="1"/>
      <c r="C1098" s="1860"/>
      <c r="D1098" s="1860"/>
      <c r="E1098" s="1331"/>
      <c r="F1098" s="1331"/>
      <c r="G1098" s="1331"/>
      <c r="H1098" s="1331"/>
      <c r="I1098" s="1331"/>
      <c r="J1098" s="1331"/>
      <c r="K1098" s="1331"/>
      <c r="L1098" s="1331"/>
      <c r="M1098" s="1331"/>
      <c r="N1098" s="1331"/>
      <c r="O1098" s="1331"/>
      <c r="P1098" s="1331"/>
      <c r="Q1098" s="1331"/>
      <c r="R1098" s="1331"/>
      <c r="S1098" s="1331"/>
      <c r="T1098" s="1331"/>
      <c r="U1098" s="1331"/>
      <c r="V1098" s="1331"/>
      <c r="W1098" s="1331"/>
      <c r="X1098" s="1331"/>
      <c r="Y1098" s="1331"/>
      <c r="Z1098" s="1331"/>
      <c r="AA1098" s="1331"/>
      <c r="AB1098" s="1331"/>
      <c r="AC1098" s="1331"/>
      <c r="AD1098" s="1331"/>
      <c r="AE1098" s="1331"/>
      <c r="AF1098" s="1331"/>
      <c r="AG1098" s="1331"/>
      <c r="AH1098" s="1331"/>
      <c r="AI1098" s="1331"/>
      <c r="AJ1098" s="1331"/>
      <c r="AK1098" s="1331"/>
      <c r="AL1098" s="1331"/>
      <c r="AM1098" s="1331"/>
      <c r="AN1098" s="1331"/>
      <c r="AO1098" s="1331"/>
      <c r="AP1098" s="1331"/>
      <c r="AQ1098" s="1331"/>
      <c r="AR1098" s="1331"/>
    </row>
    <row r="1099" spans="1:45" ht="13" customHeight="1">
      <c r="A1099" s="35"/>
      <c r="B1099" s="25"/>
      <c r="C1099" s="1860"/>
      <c r="D1099" s="1860"/>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8" t="s">
        <v>592</v>
      </c>
      <c r="B1100" s="1418"/>
      <c r="C1100" s="1860">
        <v>10</v>
      </c>
      <c r="D1100" s="1860"/>
      <c r="E1100" s="1861" t="s">
        <v>2241</v>
      </c>
      <c r="F1100" s="1861"/>
      <c r="G1100" s="1861"/>
      <c r="H1100" s="1861"/>
      <c r="I1100" s="1861"/>
      <c r="J1100" s="1861"/>
      <c r="K1100" s="1861"/>
      <c r="L1100" s="1861"/>
      <c r="M1100" s="1861"/>
      <c r="N1100" s="1861"/>
      <c r="O1100" s="1861"/>
      <c r="P1100" s="1861"/>
      <c r="Q1100" s="1861"/>
      <c r="R1100" s="1861"/>
      <c r="S1100" s="1861"/>
      <c r="T1100" s="1861"/>
      <c r="U1100" s="1861"/>
      <c r="V1100" s="1861"/>
      <c r="W1100" s="1861"/>
      <c r="X1100" s="1861"/>
      <c r="Y1100" s="1861"/>
      <c r="Z1100" s="1861"/>
      <c r="AA1100" s="1861"/>
      <c r="AB1100" s="1861"/>
      <c r="AC1100" s="1861"/>
      <c r="AD1100" s="1861"/>
      <c r="AE1100" s="1861"/>
      <c r="AF1100" s="1861"/>
      <c r="AG1100" s="1861"/>
      <c r="AH1100" s="1861"/>
      <c r="AI1100" s="1861"/>
      <c r="AJ1100" s="1861"/>
      <c r="AK1100" s="1861"/>
      <c r="AL1100" s="1861"/>
      <c r="AM1100" s="1861"/>
      <c r="AN1100" s="1861"/>
      <c r="AO1100" s="1861"/>
      <c r="AP1100" s="1861"/>
      <c r="AQ1100" s="1861"/>
      <c r="AR1100" s="1861"/>
    </row>
    <row r="1101" spans="1:45" ht="13" customHeight="1">
      <c r="A1101" s="1"/>
      <c r="B1101" s="1"/>
      <c r="C1101" s="199"/>
      <c r="D1101" s="1161"/>
      <c r="E1101" s="1861"/>
      <c r="F1101" s="1861"/>
      <c r="G1101" s="1861"/>
      <c r="H1101" s="1861"/>
      <c r="I1101" s="1861"/>
      <c r="J1101" s="1861"/>
      <c r="K1101" s="1861"/>
      <c r="L1101" s="1861"/>
      <c r="M1101" s="1861"/>
      <c r="N1101" s="1861"/>
      <c r="O1101" s="1861"/>
      <c r="P1101" s="1861"/>
      <c r="Q1101" s="1861"/>
      <c r="R1101" s="1861"/>
      <c r="S1101" s="1861"/>
      <c r="T1101" s="1861"/>
      <c r="U1101" s="1861"/>
      <c r="V1101" s="1861"/>
      <c r="W1101" s="1861"/>
      <c r="X1101" s="1861"/>
      <c r="Y1101" s="1861"/>
      <c r="Z1101" s="1861"/>
      <c r="AA1101" s="1861"/>
      <c r="AB1101" s="1861"/>
      <c r="AC1101" s="1861"/>
      <c r="AD1101" s="1861"/>
      <c r="AE1101" s="1861"/>
      <c r="AF1101" s="1861"/>
      <c r="AG1101" s="1861"/>
      <c r="AH1101" s="1861"/>
      <c r="AI1101" s="1861"/>
      <c r="AJ1101" s="1861"/>
      <c r="AK1101" s="1861"/>
      <c r="AL1101" s="1861"/>
      <c r="AM1101" s="1861"/>
      <c r="AN1101" s="1861"/>
      <c r="AO1101" s="1861"/>
      <c r="AP1101" s="1861"/>
      <c r="AQ1101" s="1861"/>
      <c r="AR1101" s="1861"/>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8" t="s">
        <v>592</v>
      </c>
      <c r="B1103" s="1418"/>
      <c r="C1103" s="1860">
        <v>11</v>
      </c>
      <c r="D1103" s="1860"/>
      <c r="E1103" s="1861" t="s">
        <v>2243</v>
      </c>
      <c r="F1103" s="1861"/>
      <c r="G1103" s="1861"/>
      <c r="H1103" s="1861"/>
      <c r="I1103" s="1861"/>
      <c r="J1103" s="1861"/>
      <c r="K1103" s="1861"/>
      <c r="L1103" s="1861"/>
      <c r="M1103" s="1861"/>
      <c r="N1103" s="1861"/>
      <c r="O1103" s="1861"/>
      <c r="P1103" s="1861"/>
      <c r="Q1103" s="1861"/>
      <c r="R1103" s="1861"/>
      <c r="S1103" s="1861"/>
      <c r="T1103" s="1861"/>
      <c r="U1103" s="1861"/>
      <c r="V1103" s="1861"/>
      <c r="W1103" s="1861"/>
      <c r="X1103" s="1861"/>
      <c r="Y1103" s="1861"/>
      <c r="Z1103" s="1861"/>
      <c r="AA1103" s="1861"/>
      <c r="AB1103" s="1861"/>
      <c r="AC1103" s="1861"/>
      <c r="AD1103" s="1861"/>
      <c r="AE1103" s="1861"/>
      <c r="AF1103" s="1861"/>
      <c r="AG1103" s="1861"/>
      <c r="AH1103" s="1861"/>
      <c r="AI1103" s="1861"/>
      <c r="AJ1103" s="1861"/>
      <c r="AK1103" s="1861"/>
      <c r="AL1103" s="1861"/>
      <c r="AM1103" s="1861"/>
      <c r="AN1103" s="1861"/>
      <c r="AO1103" s="1861"/>
      <c r="AP1103" s="1861"/>
      <c r="AQ1103" s="1861"/>
      <c r="AR1103" s="1861"/>
    </row>
    <row r="1104" spans="1:45" ht="13" customHeight="1">
      <c r="A1104" s="1"/>
      <c r="B1104" s="1"/>
      <c r="C1104" s="199"/>
      <c r="D1104" s="1161"/>
      <c r="E1104" s="1861"/>
      <c r="F1104" s="1861"/>
      <c r="G1104" s="1861"/>
      <c r="H1104" s="1861"/>
      <c r="I1104" s="1861"/>
      <c r="J1104" s="1861"/>
      <c r="K1104" s="1861"/>
      <c r="L1104" s="1861"/>
      <c r="M1104" s="1861"/>
      <c r="N1104" s="1861"/>
      <c r="O1104" s="1861"/>
      <c r="P1104" s="1861"/>
      <c r="Q1104" s="1861"/>
      <c r="R1104" s="1861"/>
      <c r="S1104" s="1861"/>
      <c r="T1104" s="1861"/>
      <c r="U1104" s="1861"/>
      <c r="V1104" s="1861"/>
      <c r="W1104" s="1861"/>
      <c r="X1104" s="1861"/>
      <c r="Y1104" s="1861"/>
      <c r="Z1104" s="1861"/>
      <c r="AA1104" s="1861"/>
      <c r="AB1104" s="1861"/>
      <c r="AC1104" s="1861"/>
      <c r="AD1104" s="1861"/>
      <c r="AE1104" s="1861"/>
      <c r="AF1104" s="1861"/>
      <c r="AG1104" s="1861"/>
      <c r="AH1104" s="1861"/>
      <c r="AI1104" s="1861"/>
      <c r="AJ1104" s="1861"/>
      <c r="AK1104" s="1861"/>
      <c r="AL1104" s="1861"/>
      <c r="AM1104" s="1861"/>
      <c r="AN1104" s="1861"/>
      <c r="AO1104" s="1861"/>
      <c r="AP1104" s="1861"/>
      <c r="AQ1104" s="1861"/>
      <c r="AR1104" s="1861"/>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8" t="s">
        <v>592</v>
      </c>
      <c r="B1125" s="1418"/>
      <c r="C1125" s="199">
        <v>9</v>
      </c>
      <c r="D1125" s="1263" t="s">
        <v>1075</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70">
    <mergeCell ref="H305:R305"/>
    <mergeCell ref="H306:R306"/>
    <mergeCell ref="H304:R304"/>
    <mergeCell ref="H303:R303"/>
    <mergeCell ref="AA306:AK306"/>
    <mergeCell ref="AA303:AK303"/>
    <mergeCell ref="AA304:AK304"/>
    <mergeCell ref="AA305:AK305"/>
    <mergeCell ref="M244:AE244"/>
    <mergeCell ref="M245:T245"/>
    <mergeCell ref="H287:R287"/>
    <mergeCell ref="H290:R290"/>
    <mergeCell ref="H288:R288"/>
    <mergeCell ref="H289:R289"/>
    <mergeCell ref="AA288:AK288"/>
    <mergeCell ref="AA287:AK287"/>
    <mergeCell ref="AA290:AK290"/>
    <mergeCell ref="AA289:AK289"/>
    <mergeCell ref="H297:R297"/>
    <mergeCell ref="H296:R296"/>
    <mergeCell ref="H295:R295"/>
    <mergeCell ref="H298:R298"/>
    <mergeCell ref="AA298:AK298"/>
    <mergeCell ref="AA295:AK295"/>
    <mergeCell ref="AA296:AK296"/>
    <mergeCell ref="AA297:AK297"/>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X728:AB728"/>
    <mergeCell ref="W636:Y636"/>
    <mergeCell ref="CI717:CJ717"/>
    <mergeCell ref="AA680:AK680"/>
    <mergeCell ref="Q638:S638"/>
    <mergeCell ref="H648:R648"/>
    <mergeCell ref="G646:R646"/>
    <mergeCell ref="Z652:AK652"/>
    <mergeCell ref="G714:J717"/>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6:M316"/>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M253:T253"/>
    <mergeCell ref="L274:AJ274"/>
    <mergeCell ref="H291:M291"/>
    <mergeCell ref="AA257:AK257"/>
    <mergeCell ref="M260:AE260"/>
    <mergeCell ref="AA265:AK265"/>
    <mergeCell ref="M261:T261"/>
    <mergeCell ref="AI307:AK307"/>
    <mergeCell ref="AA308:AF308"/>
    <mergeCell ref="M254:AE254"/>
    <mergeCell ref="AH262:AK262"/>
    <mergeCell ref="T267:X267"/>
    <mergeCell ref="AA291:AF291"/>
    <mergeCell ref="AI291:AK291"/>
    <mergeCell ref="AA323:AF323"/>
    <mergeCell ref="H320:R320"/>
    <mergeCell ref="H323:M323"/>
    <mergeCell ref="AA330:AK330"/>
    <mergeCell ref="H324:M324"/>
    <mergeCell ref="AA325:AK325"/>
    <mergeCell ref="H315:M315"/>
    <mergeCell ref="H321:R321"/>
    <mergeCell ref="H322:R322"/>
    <mergeCell ref="L276:S276"/>
    <mergeCell ref="L278:Q278"/>
    <mergeCell ref="AH254:AK254"/>
    <mergeCell ref="M259:AE259"/>
    <mergeCell ref="AA293:AK293"/>
    <mergeCell ref="L280:AD280"/>
    <mergeCell ref="L275:AD275"/>
    <mergeCell ref="V276:W276"/>
    <mergeCell ref="AA301:AK301"/>
    <mergeCell ref="H301:R301"/>
    <mergeCell ref="L277:AD277"/>
    <mergeCell ref="AA331:AF331"/>
    <mergeCell ref="P315:R315"/>
    <mergeCell ref="N363:O363"/>
    <mergeCell ref="AA337:AK337"/>
    <mergeCell ref="H327:R327"/>
    <mergeCell ref="AA309:AK309"/>
    <mergeCell ref="AA307:AF307"/>
    <mergeCell ref="AA317:AK317"/>
    <mergeCell ref="AA332:AF332"/>
    <mergeCell ref="AA328:AK328"/>
    <mergeCell ref="AA327:AK327"/>
    <mergeCell ref="H332:M332"/>
    <mergeCell ref="AI315:AK315"/>
    <mergeCell ref="AA312:AK312"/>
    <mergeCell ref="AA329:AK329"/>
    <mergeCell ref="H325:R325"/>
    <mergeCell ref="H307:M307"/>
    <mergeCell ref="H329:R329"/>
    <mergeCell ref="H330:R330"/>
    <mergeCell ref="P331:R331"/>
    <mergeCell ref="AA324:AF324"/>
    <mergeCell ref="H328:R328"/>
    <mergeCell ref="AI323:AK323"/>
    <mergeCell ref="H317:R317"/>
    <mergeCell ref="P323:R323"/>
    <mergeCell ref="AA315:AF315"/>
    <mergeCell ref="P349:AE349"/>
    <mergeCell ref="AF251:AK251"/>
    <mergeCell ref="M247:R247"/>
    <mergeCell ref="T278:V278"/>
    <mergeCell ref="P291:R291"/>
    <mergeCell ref="P205:U205"/>
    <mergeCell ref="M239:AE239"/>
    <mergeCell ref="AF178:AG178"/>
    <mergeCell ref="I190:N190"/>
    <mergeCell ref="M246:AE246"/>
    <mergeCell ref="AC245:AE245"/>
    <mergeCell ref="AA311:AK311"/>
    <mergeCell ref="H308:M308"/>
    <mergeCell ref="P307:R307"/>
    <mergeCell ref="P299:R299"/>
    <mergeCell ref="H293:R293"/>
    <mergeCell ref="AA299:AF299"/>
    <mergeCell ref="AI299:AK299"/>
    <mergeCell ref="AA300:AF300"/>
    <mergeCell ref="M257:T257"/>
    <mergeCell ref="M256:AE256"/>
    <mergeCell ref="T195:U195"/>
    <mergeCell ref="E187:AE188"/>
    <mergeCell ref="I189:P189"/>
    <mergeCell ref="D204:M204"/>
    <mergeCell ref="M238:T238"/>
    <mergeCell ref="T197:U197"/>
    <mergeCell ref="W253:X253"/>
    <mergeCell ref="M252:AE252"/>
    <mergeCell ref="AC253:AE253"/>
    <mergeCell ref="D270:H270"/>
    <mergeCell ref="X270:AC270"/>
    <mergeCell ref="Z263:AE263"/>
    <mergeCell ref="U255:W255"/>
    <mergeCell ref="M264:AE264"/>
    <mergeCell ref="AB276:AD276"/>
    <mergeCell ref="Y278:AD278"/>
    <mergeCell ref="AF259:AK259"/>
    <mergeCell ref="AC261:AE261"/>
    <mergeCell ref="M262:AE262"/>
    <mergeCell ref="W261:X261"/>
    <mergeCell ref="U263:W263"/>
    <mergeCell ref="A86:AT87"/>
    <mergeCell ref="A89:AT90"/>
    <mergeCell ref="A92:AT98"/>
    <mergeCell ref="A100:AT103"/>
    <mergeCell ref="I184:AE184"/>
    <mergeCell ref="Y117:AK117"/>
    <mergeCell ref="T190:AE190"/>
    <mergeCell ref="M232:AK232"/>
    <mergeCell ref="A105:AT106"/>
    <mergeCell ref="L113:O113"/>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H246:AK246"/>
    <mergeCell ref="O155:AH155"/>
    <mergeCell ref="A75:AT77"/>
    <mergeCell ref="A79:AT81"/>
    <mergeCell ref="AB215:AL215"/>
    <mergeCell ref="T198:U198"/>
    <mergeCell ref="Q212:R212"/>
    <mergeCell ref="D214:Z214"/>
    <mergeCell ref="AB216:AL216"/>
    <mergeCell ref="M236:R236"/>
    <mergeCell ref="Z236:AE236"/>
    <mergeCell ref="G113:H113"/>
    <mergeCell ref="C115:K115"/>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J173:S173"/>
    <mergeCell ref="AG394:AJ394"/>
    <mergeCell ref="AH197:AI197"/>
    <mergeCell ref="Z205:AN205"/>
    <mergeCell ref="A222:AT223"/>
    <mergeCell ref="T200:U200"/>
    <mergeCell ref="X198:AT199"/>
    <mergeCell ref="AH194:AI194"/>
    <mergeCell ref="AC220:AQ220"/>
    <mergeCell ref="D205:M205"/>
    <mergeCell ref="J174:AB174"/>
    <mergeCell ref="O153:AH153"/>
    <mergeCell ref="O154:AH154"/>
    <mergeCell ref="O156:AH156"/>
    <mergeCell ref="O157:X157"/>
    <mergeCell ref="O158:R158"/>
    <mergeCell ref="O159:T159"/>
    <mergeCell ref="O161:AH161"/>
    <mergeCell ref="AA292:AF292"/>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P346:AE346"/>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G395:AJ395"/>
    <mergeCell ref="AI392:AJ392"/>
    <mergeCell ref="AO640:AS640"/>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Z634:AB63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X718:AB718"/>
    <mergeCell ref="T720:W720"/>
    <mergeCell ref="K714:N717"/>
    <mergeCell ref="C635:L635"/>
    <mergeCell ref="P663:R663"/>
    <mergeCell ref="O719:S719"/>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CU776:CY776"/>
    <mergeCell ref="CP750:CT750"/>
    <mergeCell ref="CU750:CY750"/>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24:AB724"/>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K752:CL752"/>
    <mergeCell ref="CP747:CT747"/>
    <mergeCell ref="CG748:CH748"/>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topLeftCell="B1" zoomScaleNormal="100" workbookViewId="0">
      <selection activeCell="C86" sqref="C86"/>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550</v>
      </c>
      <c r="B1" s="125"/>
      <c r="C1" s="125"/>
      <c r="D1" s="125"/>
      <c r="E1" s="126"/>
      <c r="F1" s="1869" t="s">
        <v>622</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2)CIC Opportunities Fund IV, LLC</v>
      </c>
      <c r="H2" s="139" t="str">
        <f>Application!B629&amp;Application!C629</f>
        <v>3)GP Loan</v>
      </c>
      <c r="I2" s="139" t="str">
        <f>Application!B630&amp;Application!C630</f>
        <v>4)Accrued Soft Interest</v>
      </c>
      <c r="J2" s="139" t="str">
        <f>Application!B631&amp;Application!C631</f>
        <v>5)Deferred Developer Fee</v>
      </c>
      <c r="K2" s="139" t="str">
        <f>Application!B632&amp;Application!C632</f>
        <v>6)The Richman Group-Solar Equity</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v>
      </c>
      <c r="C4" s="147">
        <v>1</v>
      </c>
      <c r="D4" s="147"/>
      <c r="E4" s="147">
        <f>C4-SUM(F4:Q4)</f>
        <v>1</v>
      </c>
      <c r="F4" s="147"/>
      <c r="G4" s="147"/>
      <c r="H4" s="147"/>
      <c r="I4" s="147"/>
      <c r="J4" s="147"/>
      <c r="K4" s="147"/>
      <c r="L4" s="147"/>
      <c r="M4" s="147"/>
      <c r="N4" s="147"/>
      <c r="O4" s="147"/>
      <c r="P4" s="147"/>
      <c r="Q4" s="147"/>
      <c r="R4" s="516">
        <f>SUM(E4:Q4)</f>
        <v>1</v>
      </c>
      <c r="S4" s="148"/>
      <c r="T4" s="148"/>
      <c r="U4" s="143"/>
    </row>
    <row r="5" spans="1:21" s="144" customFormat="1">
      <c r="A5" s="145" t="s">
        <v>28</v>
      </c>
      <c r="B5" s="146">
        <f>SUM(C5+D5)</f>
        <v>0</v>
      </c>
      <c r="C5" s="147"/>
      <c r="D5" s="147"/>
      <c r="E5" s="147">
        <f t="shared" ref="E5:E7" si="0">C5-SUM(F5:Q5)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1</v>
      </c>
      <c r="C8" s="146">
        <f t="shared" ref="C8:Q8" si="1">SUM(C4:C7)</f>
        <v>1</v>
      </c>
      <c r="D8" s="146">
        <f t="shared" si="1"/>
        <v>0</v>
      </c>
      <c r="E8" s="146">
        <f t="shared" si="1"/>
        <v>1</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1</v>
      </c>
      <c r="S8" s="148"/>
      <c r="T8" s="148"/>
      <c r="U8" s="143"/>
    </row>
    <row r="9" spans="1:21" s="144" customFormat="1">
      <c r="A9" s="145" t="s">
        <v>595</v>
      </c>
      <c r="B9" s="146">
        <f>SUM(C9+D9)</f>
        <v>0</v>
      </c>
      <c r="C9" s="147"/>
      <c r="D9" s="147"/>
      <c r="E9" s="147">
        <f t="shared" ref="E9:E10" si="2">C9-SUM(F9:Q9)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c r="A12" s="149" t="s">
        <v>84</v>
      </c>
      <c r="B12" s="146">
        <f t="shared" ref="B12:Q12" si="4">SUM(B8+B11)</f>
        <v>1</v>
      </c>
      <c r="C12" s="146">
        <f t="shared" si="4"/>
        <v>1</v>
      </c>
      <c r="D12" s="146">
        <f t="shared" si="4"/>
        <v>0</v>
      </c>
      <c r="E12" s="146">
        <f t="shared" si="4"/>
        <v>1</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1</v>
      </c>
      <c r="S12" s="148"/>
      <c r="T12" s="148"/>
      <c r="U12" s="143"/>
    </row>
    <row r="13" spans="1:21" s="144" customFormat="1">
      <c r="A13" s="287" t="s">
        <v>903</v>
      </c>
      <c r="B13" s="146">
        <f>SUM(C13+D13)</f>
        <v>0</v>
      </c>
      <c r="C13" s="147"/>
      <c r="D13" s="147"/>
      <c r="E13" s="147">
        <f t="shared" ref="E13:E15" si="5">C13-SUM(F13:Q13)</f>
        <v>0</v>
      </c>
      <c r="F13" s="147"/>
      <c r="G13" s="147"/>
      <c r="H13" s="147"/>
      <c r="I13" s="147"/>
      <c r="J13" s="147"/>
      <c r="K13" s="147"/>
      <c r="L13" s="147"/>
      <c r="M13" s="147"/>
      <c r="N13" s="147"/>
      <c r="O13" s="147"/>
      <c r="P13" s="147"/>
      <c r="Q13" s="147"/>
      <c r="R13" s="516">
        <f>SUM(E13:Q13)</f>
        <v>0</v>
      </c>
      <c r="S13" s="147"/>
      <c r="T13" s="147"/>
      <c r="U13" s="143"/>
    </row>
    <row r="14" spans="1:21" s="144" customFormat="1" ht="23">
      <c r="A14" s="288" t="s">
        <v>1644</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ht="12">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f t="shared" ref="E17:E25" si="7">C17-SUM(F17:Q17)</f>
        <v>0</v>
      </c>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6"/>
        <v>0</v>
      </c>
      <c r="C19" s="147"/>
      <c r="D19" s="147"/>
      <c r="E19" s="147">
        <f t="shared" si="7"/>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8"/>
        <v>0</v>
      </c>
      <c r="S23" s="147"/>
      <c r="T23" s="147"/>
      <c r="U23" s="143"/>
    </row>
    <row r="24" spans="1:21" s="144" customFormat="1">
      <c r="A24" s="508" t="s">
        <v>1641</v>
      </c>
      <c r="B24" s="146">
        <f t="shared" si="6"/>
        <v>0</v>
      </c>
      <c r="C24" s="147"/>
      <c r="D24" s="147"/>
      <c r="E24" s="147">
        <f t="shared" si="7"/>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C27-SUM(F27:Q27)</f>
        <v>0</v>
      </c>
      <c r="F27" s="147"/>
      <c r="G27" s="147"/>
      <c r="H27" s="147"/>
      <c r="I27" s="147"/>
      <c r="J27" s="147"/>
      <c r="K27" s="147"/>
      <c r="L27" s="147"/>
      <c r="M27" s="147"/>
      <c r="N27" s="147"/>
      <c r="O27" s="147"/>
      <c r="P27" s="147"/>
      <c r="Q27" s="147"/>
      <c r="R27" s="516">
        <f t="shared" si="8"/>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1600000</v>
      </c>
      <c r="C29" s="147">
        <v>1600000</v>
      </c>
      <c r="D29" s="147"/>
      <c r="E29" s="147">
        <f t="shared" ref="E29:E37" si="11">C29-SUM(F29:Q29)</f>
        <v>1600000</v>
      </c>
      <c r="F29" s="147"/>
      <c r="G29" s="147"/>
      <c r="H29" s="147"/>
      <c r="I29" s="147"/>
      <c r="J29" s="147"/>
      <c r="K29" s="147"/>
      <c r="L29" s="147"/>
      <c r="M29" s="147"/>
      <c r="N29" s="147"/>
      <c r="O29" s="147"/>
      <c r="P29" s="147"/>
      <c r="Q29" s="147"/>
      <c r="R29" s="516">
        <f t="shared" ref="R29:R37" si="12">SUM(E29:Q29)</f>
        <v>1600000</v>
      </c>
      <c r="S29" s="147">
        <f>R29</f>
        <v>1600000</v>
      </c>
      <c r="T29" s="147"/>
      <c r="U29" s="143"/>
    </row>
    <row r="30" spans="1:21" s="144" customFormat="1">
      <c r="A30" s="145" t="s">
        <v>600</v>
      </c>
      <c r="B30" s="146">
        <f t="shared" si="10"/>
        <v>24112000</v>
      </c>
      <c r="C30" s="147">
        <v>24112000</v>
      </c>
      <c r="D30" s="147"/>
      <c r="E30" s="147">
        <f t="shared" si="11"/>
        <v>528107</v>
      </c>
      <c r="F30" s="147">
        <f>Application!AO627</f>
        <v>16950000</v>
      </c>
      <c r="G30" s="147">
        <f>Application!AO628</f>
        <v>1500000</v>
      </c>
      <c r="H30" s="147">
        <f>Application!AO629</f>
        <v>5000000</v>
      </c>
      <c r="I30" s="147"/>
      <c r="J30" s="147"/>
      <c r="K30" s="147">
        <f>Application!AO632</f>
        <v>133893</v>
      </c>
      <c r="L30" s="147"/>
      <c r="M30" s="147"/>
      <c r="N30" s="147"/>
      <c r="O30" s="147"/>
      <c r="P30" s="147"/>
      <c r="Q30" s="147"/>
      <c r="R30" s="516">
        <f t="shared" si="12"/>
        <v>24112000</v>
      </c>
      <c r="S30" s="147">
        <v>24112000</v>
      </c>
      <c r="T30" s="147"/>
      <c r="U30" s="143"/>
    </row>
    <row r="31" spans="1:21" s="144" customFormat="1">
      <c r="A31" s="145" t="s">
        <v>601</v>
      </c>
      <c r="B31" s="146">
        <f t="shared" si="10"/>
        <v>1008480</v>
      </c>
      <c r="C31" s="147">
        <v>1008480</v>
      </c>
      <c r="D31" s="147"/>
      <c r="E31" s="147">
        <f t="shared" si="11"/>
        <v>1008480</v>
      </c>
      <c r="F31" s="147"/>
      <c r="G31" s="147"/>
      <c r="H31" s="147"/>
      <c r="I31" s="147"/>
      <c r="J31" s="147"/>
      <c r="K31" s="147"/>
      <c r="L31" s="147"/>
      <c r="M31" s="147"/>
      <c r="N31" s="147"/>
      <c r="O31" s="147"/>
      <c r="P31" s="147"/>
      <c r="Q31" s="147"/>
      <c r="R31" s="516">
        <f t="shared" si="12"/>
        <v>1008480</v>
      </c>
      <c r="S31" s="147">
        <f>R31</f>
        <v>1008480</v>
      </c>
      <c r="T31" s="147"/>
      <c r="U31" s="143"/>
    </row>
    <row r="32" spans="1:21" s="144" customFormat="1">
      <c r="A32" s="145" t="s">
        <v>137</v>
      </c>
      <c r="B32" s="146">
        <f t="shared" si="10"/>
        <v>756360</v>
      </c>
      <c r="C32" s="147">
        <v>756360</v>
      </c>
      <c r="D32" s="147"/>
      <c r="E32" s="147">
        <f t="shared" si="11"/>
        <v>756360</v>
      </c>
      <c r="F32" s="147"/>
      <c r="G32" s="147"/>
      <c r="H32" s="147"/>
      <c r="I32" s="147"/>
      <c r="J32" s="147"/>
      <c r="K32" s="147"/>
      <c r="L32" s="147"/>
      <c r="M32" s="147"/>
      <c r="N32" s="147"/>
      <c r="O32" s="147"/>
      <c r="P32" s="147"/>
      <c r="Q32" s="147"/>
      <c r="R32" s="516">
        <f t="shared" si="12"/>
        <v>756360</v>
      </c>
      <c r="S32" s="147">
        <f>R32</f>
        <v>756360</v>
      </c>
      <c r="T32" s="147"/>
      <c r="U32" s="143"/>
    </row>
    <row r="33" spans="1:21" s="144" customFormat="1">
      <c r="A33" s="145" t="s">
        <v>138</v>
      </c>
      <c r="B33" s="146">
        <f t="shared" si="10"/>
        <v>1264840</v>
      </c>
      <c r="C33" s="147">
        <v>1264840</v>
      </c>
      <c r="D33" s="147"/>
      <c r="E33" s="147">
        <f t="shared" si="11"/>
        <v>1264840</v>
      </c>
      <c r="F33" s="147"/>
      <c r="G33" s="147"/>
      <c r="H33" s="147"/>
      <c r="I33" s="147"/>
      <c r="J33" s="147"/>
      <c r="K33" s="147"/>
      <c r="L33" s="147"/>
      <c r="M33" s="147"/>
      <c r="N33" s="147"/>
      <c r="O33" s="147"/>
      <c r="P33" s="147"/>
      <c r="Q33" s="147"/>
      <c r="R33" s="516">
        <f t="shared" si="12"/>
        <v>1264840</v>
      </c>
      <c r="S33" s="147">
        <f>R33</f>
        <v>1264840</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c r="A35" s="145" t="s">
        <v>140</v>
      </c>
      <c r="B35" s="146">
        <f t="shared" si="10"/>
        <v>0</v>
      </c>
      <c r="C35" s="147"/>
      <c r="D35" s="147"/>
      <c r="E35" s="147">
        <f t="shared" si="11"/>
        <v>0</v>
      </c>
      <c r="F35" s="147"/>
      <c r="G35" s="147"/>
      <c r="H35" s="147"/>
      <c r="I35" s="147"/>
      <c r="J35" s="147"/>
      <c r="K35" s="147"/>
      <c r="L35" s="147"/>
      <c r="M35" s="147"/>
      <c r="N35" s="147"/>
      <c r="O35" s="147"/>
      <c r="P35" s="147"/>
      <c r="Q35" s="147"/>
      <c r="R35" s="516">
        <f t="shared" si="12"/>
        <v>0</v>
      </c>
      <c r="S35" s="147"/>
      <c r="T35" s="147"/>
      <c r="U35" s="143"/>
    </row>
    <row r="36" spans="1:21" s="144" customFormat="1">
      <c r="A36" s="283" t="s">
        <v>1641</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c r="A37" s="1149" t="s">
        <v>34</v>
      </c>
      <c r="B37" s="146">
        <f t="shared" si="10"/>
        <v>0</v>
      </c>
      <c r="C37" s="147"/>
      <c r="D37" s="147"/>
      <c r="E37" s="147">
        <f t="shared" si="11"/>
        <v>0</v>
      </c>
      <c r="F37" s="147"/>
      <c r="G37" s="147"/>
      <c r="H37" s="147"/>
      <c r="I37" s="147"/>
      <c r="J37" s="147"/>
      <c r="K37" s="147"/>
      <c r="L37" s="147"/>
      <c r="M37" s="147"/>
      <c r="N37" s="147"/>
      <c r="O37" s="147"/>
      <c r="P37" s="147"/>
      <c r="Q37" s="147"/>
      <c r="R37" s="516">
        <f t="shared" si="12"/>
        <v>0</v>
      </c>
      <c r="S37" s="147"/>
      <c r="T37" s="147"/>
      <c r="U37" s="143"/>
    </row>
    <row r="38" spans="1:21" s="144" customFormat="1">
      <c r="A38" s="149" t="s">
        <v>143</v>
      </c>
      <c r="B38" s="146">
        <f t="shared" si="10"/>
        <v>28741680</v>
      </c>
      <c r="C38" s="146">
        <f>SUM(C29:C37)</f>
        <v>28741680</v>
      </c>
      <c r="D38" s="146">
        <f t="shared" ref="D38:Q38" si="13">SUM(D29:D37)</f>
        <v>0</v>
      </c>
      <c r="E38" s="146">
        <f t="shared" si="13"/>
        <v>5157787</v>
      </c>
      <c r="F38" s="146">
        <f t="shared" si="13"/>
        <v>16950000</v>
      </c>
      <c r="G38" s="146">
        <f t="shared" si="13"/>
        <v>1500000</v>
      </c>
      <c r="H38" s="146">
        <f t="shared" si="13"/>
        <v>5000000</v>
      </c>
      <c r="I38" s="146">
        <f t="shared" si="13"/>
        <v>0</v>
      </c>
      <c r="J38" s="146">
        <f t="shared" si="13"/>
        <v>0</v>
      </c>
      <c r="K38" s="146">
        <f t="shared" si="13"/>
        <v>133893</v>
      </c>
      <c r="L38" s="146">
        <f t="shared" si="13"/>
        <v>0</v>
      </c>
      <c r="M38" s="146">
        <f t="shared" si="13"/>
        <v>0</v>
      </c>
      <c r="N38" s="146">
        <f t="shared" si="13"/>
        <v>0</v>
      </c>
      <c r="O38" s="146">
        <f t="shared" si="13"/>
        <v>0</v>
      </c>
      <c r="P38" s="146">
        <f t="shared" si="13"/>
        <v>0</v>
      </c>
      <c r="Q38" s="146">
        <f t="shared" si="13"/>
        <v>0</v>
      </c>
      <c r="R38" s="342">
        <f>SUM(R29:R37)</f>
        <v>28741680</v>
      </c>
      <c r="S38" s="150">
        <f>SUM(S29:S37)</f>
        <v>28741680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925000</v>
      </c>
      <c r="C40" s="147">
        <v>925000</v>
      </c>
      <c r="D40" s="147"/>
      <c r="E40" s="147">
        <f>C40-SUM(F40:Q40)</f>
        <v>925000</v>
      </c>
      <c r="F40" s="147"/>
      <c r="G40" s="147"/>
      <c r="H40" s="147"/>
      <c r="I40" s="147"/>
      <c r="J40" s="147"/>
      <c r="K40" s="147"/>
      <c r="L40" s="147"/>
      <c r="M40" s="147"/>
      <c r="N40" s="147"/>
      <c r="O40" s="147"/>
      <c r="P40" s="147"/>
      <c r="Q40" s="147"/>
      <c r="R40" s="516">
        <f>SUM(E40:Q40)</f>
        <v>925000</v>
      </c>
      <c r="S40" s="147">
        <f>R40</f>
        <v>925000</v>
      </c>
      <c r="T40" s="147"/>
      <c r="U40" s="143"/>
    </row>
    <row r="41" spans="1:21" s="144" customFormat="1">
      <c r="A41" s="145" t="s">
        <v>146</v>
      </c>
      <c r="B41" s="146">
        <f>SUM(C41+D41)</f>
        <v>0</v>
      </c>
      <c r="C41" s="147"/>
      <c r="D41" s="147"/>
      <c r="E41" s="147">
        <f>C41-SUM(F41:Q41)</f>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925000</v>
      </c>
      <c r="C42" s="146">
        <f>SUM(C39:C41)</f>
        <v>925000</v>
      </c>
      <c r="D42" s="146">
        <f>SUM(D39:D41)</f>
        <v>0</v>
      </c>
      <c r="E42" s="146">
        <f t="shared" ref="E42:T42" si="14">SUM(E40:E41)</f>
        <v>925000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42">
        <f>SUM(R40:R41)</f>
        <v>925000</v>
      </c>
      <c r="S42" s="150">
        <f t="shared" si="14"/>
        <v>925000</v>
      </c>
      <c r="T42" s="150">
        <f t="shared" si="14"/>
        <v>0</v>
      </c>
      <c r="U42" s="143"/>
    </row>
    <row r="43" spans="1:21" s="144" customFormat="1">
      <c r="A43" s="149" t="s">
        <v>148</v>
      </c>
      <c r="B43" s="146">
        <f>SUM(C43:D43)</f>
        <v>1200000</v>
      </c>
      <c r="C43" s="147">
        <v>1200000</v>
      </c>
      <c r="D43" s="147"/>
      <c r="E43" s="147">
        <f>C43-SUM(F43:Q43)</f>
        <v>1200000</v>
      </c>
      <c r="F43" s="147"/>
      <c r="G43" s="147"/>
      <c r="H43" s="147"/>
      <c r="I43" s="147"/>
      <c r="J43" s="147"/>
      <c r="K43" s="147"/>
      <c r="L43" s="147"/>
      <c r="M43" s="147"/>
      <c r="N43" s="147"/>
      <c r="O43" s="147"/>
      <c r="P43" s="147"/>
      <c r="Q43" s="147"/>
      <c r="R43" s="516">
        <f>SUM(E43:Q43)</f>
        <v>1200000</v>
      </c>
      <c r="S43" s="147">
        <f>R43</f>
        <v>1200000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3746884</v>
      </c>
      <c r="C45" s="147">
        <v>3746884</v>
      </c>
      <c r="D45" s="147"/>
      <c r="E45" s="147">
        <f t="shared" ref="E45:E53" si="16">C45-SUM(F45:Q45)</f>
        <v>3446884</v>
      </c>
      <c r="F45" s="147"/>
      <c r="G45" s="147"/>
      <c r="H45" s="147"/>
      <c r="I45" s="147">
        <f>Application!AO630</f>
        <v>300000</v>
      </c>
      <c r="J45" s="147"/>
      <c r="K45" s="147"/>
      <c r="L45" s="147"/>
      <c r="M45" s="147"/>
      <c r="N45" s="147"/>
      <c r="O45" s="147"/>
      <c r="P45" s="147"/>
      <c r="Q45" s="147"/>
      <c r="R45" s="516">
        <f t="shared" ref="R45:R53" si="17">SUM(E45:Q45)</f>
        <v>3746884</v>
      </c>
      <c r="S45" s="147">
        <v>2530523</v>
      </c>
      <c r="T45" s="147"/>
      <c r="U45" s="143"/>
    </row>
    <row r="46" spans="1:21" s="144" customFormat="1">
      <c r="A46" s="145" t="s">
        <v>151</v>
      </c>
      <c r="B46" s="146">
        <f t="shared" si="15"/>
        <v>375000</v>
      </c>
      <c r="C46" s="147">
        <v>375000</v>
      </c>
      <c r="D46" s="147"/>
      <c r="E46" s="147">
        <f t="shared" si="16"/>
        <v>375000</v>
      </c>
      <c r="F46" s="147"/>
      <c r="G46" s="147"/>
      <c r="H46" s="147"/>
      <c r="I46" s="147"/>
      <c r="J46" s="147"/>
      <c r="K46" s="147"/>
      <c r="L46" s="147"/>
      <c r="M46" s="147"/>
      <c r="N46" s="147"/>
      <c r="O46" s="147"/>
      <c r="P46" s="147"/>
      <c r="Q46" s="147"/>
      <c r="R46" s="516">
        <f t="shared" si="17"/>
        <v>375000</v>
      </c>
      <c r="S46" s="147">
        <v>78750</v>
      </c>
      <c r="T46" s="147"/>
      <c r="U46" s="143"/>
    </row>
    <row r="47" spans="1:21" s="144" customFormat="1">
      <c r="A47" s="186" t="s">
        <v>152</v>
      </c>
      <c r="B47" s="146">
        <f t="shared" si="15"/>
        <v>0</v>
      </c>
      <c r="C47" s="147"/>
      <c r="D47" s="147"/>
      <c r="E47" s="147">
        <f t="shared" si="16"/>
        <v>0</v>
      </c>
      <c r="F47" s="147"/>
      <c r="G47" s="147"/>
      <c r="H47" s="147"/>
      <c r="I47" s="147"/>
      <c r="J47" s="147"/>
      <c r="K47" s="147"/>
      <c r="L47" s="147"/>
      <c r="M47" s="147"/>
      <c r="N47" s="147"/>
      <c r="O47" s="147"/>
      <c r="P47" s="147"/>
      <c r="Q47" s="147"/>
      <c r="R47" s="516">
        <f t="shared" si="17"/>
        <v>0</v>
      </c>
      <c r="S47" s="147"/>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16">
        <f t="shared" si="17"/>
        <v>0</v>
      </c>
      <c r="S48" s="147"/>
      <c r="T48" s="147"/>
      <c r="U48" s="143"/>
    </row>
    <row r="49" spans="1:21" s="144" customFormat="1">
      <c r="A49" s="145" t="s">
        <v>57</v>
      </c>
      <c r="B49" s="146">
        <f t="shared" si="15"/>
        <v>129425</v>
      </c>
      <c r="C49" s="147">
        <v>129425</v>
      </c>
      <c r="D49" s="147"/>
      <c r="E49" s="147">
        <f t="shared" si="16"/>
        <v>129425</v>
      </c>
      <c r="F49" s="147"/>
      <c r="G49" s="147"/>
      <c r="H49" s="147"/>
      <c r="I49" s="147"/>
      <c r="J49" s="147"/>
      <c r="K49" s="147"/>
      <c r="L49" s="147"/>
      <c r="M49" s="147"/>
      <c r="N49" s="147"/>
      <c r="O49" s="147"/>
      <c r="P49" s="147"/>
      <c r="Q49" s="147"/>
      <c r="R49" s="516">
        <f t="shared" si="17"/>
        <v>129425</v>
      </c>
      <c r="S49" s="147"/>
      <c r="T49" s="147"/>
      <c r="U49" s="143"/>
    </row>
    <row r="50" spans="1:21" s="144" customFormat="1">
      <c r="A50" s="145" t="s">
        <v>156</v>
      </c>
      <c r="B50" s="146">
        <f t="shared" si="15"/>
        <v>152500</v>
      </c>
      <c r="C50" s="147">
        <v>152500</v>
      </c>
      <c r="D50" s="147"/>
      <c r="E50" s="147">
        <f t="shared" si="16"/>
        <v>152500</v>
      </c>
      <c r="F50" s="147"/>
      <c r="G50" s="147"/>
      <c r="H50" s="147"/>
      <c r="I50" s="147"/>
      <c r="J50" s="147"/>
      <c r="K50" s="147"/>
      <c r="L50" s="147"/>
      <c r="M50" s="147"/>
      <c r="N50" s="147"/>
      <c r="O50" s="147"/>
      <c r="P50" s="147"/>
      <c r="Q50" s="147"/>
      <c r="R50" s="516">
        <f t="shared" si="17"/>
        <v>152500</v>
      </c>
      <c r="S50" s="147">
        <v>114375</v>
      </c>
      <c r="T50" s="147"/>
      <c r="U50" s="143"/>
    </row>
    <row r="51" spans="1:21" s="144" customFormat="1">
      <c r="A51" s="283" t="s">
        <v>154</v>
      </c>
      <c r="B51" s="146">
        <f t="shared" si="15"/>
        <v>0</v>
      </c>
      <c r="C51" s="147"/>
      <c r="D51" s="147"/>
      <c r="E51" s="147">
        <f t="shared" si="16"/>
        <v>0</v>
      </c>
      <c r="F51" s="147"/>
      <c r="G51" s="147"/>
      <c r="H51" s="147"/>
      <c r="I51" s="147"/>
      <c r="J51" s="147"/>
      <c r="K51" s="147"/>
      <c r="L51" s="147"/>
      <c r="M51" s="147"/>
      <c r="N51" s="147"/>
      <c r="O51" s="147"/>
      <c r="P51" s="147"/>
      <c r="Q51" s="147"/>
      <c r="R51" s="516">
        <f t="shared" si="17"/>
        <v>0</v>
      </c>
      <c r="S51" s="147"/>
      <c r="T51" s="147"/>
      <c r="U51" s="143"/>
    </row>
    <row r="52" spans="1:21" s="144" customFormat="1">
      <c r="A52" s="145" t="s">
        <v>155</v>
      </c>
      <c r="B52" s="146">
        <f t="shared" si="15"/>
        <v>860000</v>
      </c>
      <c r="C52" s="147">
        <v>860000</v>
      </c>
      <c r="D52" s="147"/>
      <c r="E52" s="147">
        <f t="shared" si="16"/>
        <v>860000</v>
      </c>
      <c r="F52" s="147"/>
      <c r="G52" s="147"/>
      <c r="H52" s="147"/>
      <c r="I52" s="147"/>
      <c r="J52" s="147"/>
      <c r="K52" s="147"/>
      <c r="L52" s="147"/>
      <c r="M52" s="147"/>
      <c r="N52" s="147"/>
      <c r="O52" s="147"/>
      <c r="P52" s="147"/>
      <c r="Q52" s="147"/>
      <c r="R52" s="516">
        <f t="shared" si="17"/>
        <v>860000</v>
      </c>
      <c r="S52" s="147">
        <v>860000</v>
      </c>
      <c r="T52" s="147"/>
      <c r="U52" s="143"/>
    </row>
    <row r="53" spans="1:21" s="144" customFormat="1">
      <c r="A53" s="1149" t="s">
        <v>2734</v>
      </c>
      <c r="B53" s="146">
        <f t="shared" si="15"/>
        <v>340000</v>
      </c>
      <c r="C53" s="147">
        <v>340000</v>
      </c>
      <c r="D53" s="147"/>
      <c r="E53" s="147">
        <f t="shared" si="16"/>
        <v>340000</v>
      </c>
      <c r="F53" s="147"/>
      <c r="G53" s="147"/>
      <c r="H53" s="147"/>
      <c r="I53" s="147"/>
      <c r="J53" s="147"/>
      <c r="K53" s="147"/>
      <c r="L53" s="147"/>
      <c r="M53" s="147"/>
      <c r="N53" s="147"/>
      <c r="O53" s="147"/>
      <c r="P53" s="147"/>
      <c r="Q53" s="147"/>
      <c r="R53" s="516">
        <f t="shared" si="17"/>
        <v>340000</v>
      </c>
      <c r="S53" s="147">
        <v>340000</v>
      </c>
      <c r="T53" s="147"/>
      <c r="U53" s="143"/>
    </row>
    <row r="54" spans="1:21" s="153" customFormat="1">
      <c r="A54" s="149" t="s">
        <v>157</v>
      </c>
      <c r="B54" s="150">
        <f>SUM(C54:D54)</f>
        <v>5603809</v>
      </c>
      <c r="C54" s="150">
        <f t="shared" ref="C54:T54" si="18">SUM(C45:C53)</f>
        <v>5603809</v>
      </c>
      <c r="D54" s="150">
        <f t="shared" si="18"/>
        <v>0</v>
      </c>
      <c r="E54" s="150">
        <f t="shared" si="18"/>
        <v>5303809</v>
      </c>
      <c r="F54" s="150">
        <f t="shared" si="18"/>
        <v>0</v>
      </c>
      <c r="G54" s="150">
        <f t="shared" si="18"/>
        <v>0</v>
      </c>
      <c r="H54" s="150">
        <f t="shared" si="18"/>
        <v>0</v>
      </c>
      <c r="I54" s="150">
        <f t="shared" si="18"/>
        <v>300000</v>
      </c>
      <c r="J54" s="150">
        <f t="shared" si="18"/>
        <v>0</v>
      </c>
      <c r="K54" s="150">
        <f t="shared" si="18"/>
        <v>0</v>
      </c>
      <c r="L54" s="150">
        <f t="shared" si="18"/>
        <v>0</v>
      </c>
      <c r="M54" s="150">
        <f t="shared" si="18"/>
        <v>0</v>
      </c>
      <c r="N54" s="150">
        <f t="shared" si="18"/>
        <v>0</v>
      </c>
      <c r="O54" s="150">
        <f t="shared" si="18"/>
        <v>0</v>
      </c>
      <c r="P54" s="150">
        <f t="shared" si="18"/>
        <v>0</v>
      </c>
      <c r="Q54" s="150">
        <f t="shared" si="18"/>
        <v>0</v>
      </c>
      <c r="R54" s="342">
        <f t="shared" si="18"/>
        <v>5603809</v>
      </c>
      <c r="S54" s="150">
        <f t="shared" si="18"/>
        <v>3923648</v>
      </c>
      <c r="T54" s="150">
        <f t="shared" si="18"/>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127125</v>
      </c>
      <c r="C56" s="147">
        <v>127125</v>
      </c>
      <c r="D56" s="147"/>
      <c r="E56" s="147">
        <f t="shared" ref="E56:E61" si="20">C56-SUM(F56:Q56)</f>
        <v>127125</v>
      </c>
      <c r="F56" s="147"/>
      <c r="G56" s="147"/>
      <c r="H56" s="147"/>
      <c r="I56" s="147"/>
      <c r="J56" s="147"/>
      <c r="K56" s="147"/>
      <c r="L56" s="147"/>
      <c r="M56" s="147"/>
      <c r="N56" s="147"/>
      <c r="O56" s="147"/>
      <c r="P56" s="147"/>
      <c r="Q56" s="147"/>
      <c r="R56" s="516">
        <f t="shared" ref="R56:R61" si="21">SUM(E56:Q56)</f>
        <v>127125</v>
      </c>
      <c r="S56" s="148"/>
      <c r="T56" s="148"/>
      <c r="U56" s="143"/>
    </row>
    <row r="57" spans="1:21" s="192" customFormat="1">
      <c r="A57" s="186" t="s">
        <v>152</v>
      </c>
      <c r="B57" s="193">
        <f t="shared" si="19"/>
        <v>0</v>
      </c>
      <c r="C57" s="190"/>
      <c r="D57" s="190"/>
      <c r="E57" s="190">
        <f t="shared" si="20"/>
        <v>0</v>
      </c>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19"/>
        <v>5000</v>
      </c>
      <c r="C58" s="147">
        <v>5000</v>
      </c>
      <c r="D58" s="147"/>
      <c r="E58" s="147">
        <f t="shared" si="20"/>
        <v>5000</v>
      </c>
      <c r="F58" s="147"/>
      <c r="G58" s="147"/>
      <c r="H58" s="147"/>
      <c r="I58" s="147"/>
      <c r="J58" s="147"/>
      <c r="K58" s="147"/>
      <c r="L58" s="147"/>
      <c r="M58" s="147"/>
      <c r="N58" s="147"/>
      <c r="O58" s="147"/>
      <c r="P58" s="147"/>
      <c r="Q58" s="147"/>
      <c r="R58" s="516">
        <f t="shared" si="21"/>
        <v>5000</v>
      </c>
      <c r="S58" s="148"/>
      <c r="T58" s="148"/>
      <c r="U58" s="143"/>
    </row>
    <row r="59" spans="1:21" s="144" customFormat="1">
      <c r="A59" s="283" t="s">
        <v>154</v>
      </c>
      <c r="B59" s="146">
        <f t="shared" si="19"/>
        <v>0</v>
      </c>
      <c r="C59" s="147"/>
      <c r="D59" s="147"/>
      <c r="E59" s="147">
        <f t="shared" si="20"/>
        <v>0</v>
      </c>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16">
        <f t="shared" si="21"/>
        <v>0</v>
      </c>
      <c r="S60" s="148"/>
      <c r="T60" s="148"/>
      <c r="U60" s="143"/>
    </row>
    <row r="61" spans="1:21" s="144" customFormat="1">
      <c r="A61" s="1149" t="s">
        <v>34</v>
      </c>
      <c r="B61" s="146">
        <f t="shared" si="19"/>
        <v>0</v>
      </c>
      <c r="C61" s="147"/>
      <c r="D61" s="147"/>
      <c r="E61" s="147">
        <f t="shared" si="20"/>
        <v>0</v>
      </c>
      <c r="F61" s="147"/>
      <c r="G61" s="147"/>
      <c r="H61" s="147"/>
      <c r="I61" s="147"/>
      <c r="J61" s="147"/>
      <c r="K61" s="147"/>
      <c r="L61" s="147"/>
      <c r="M61" s="147"/>
      <c r="N61" s="147"/>
      <c r="O61" s="147"/>
      <c r="P61" s="147"/>
      <c r="Q61" s="147"/>
      <c r="R61" s="516">
        <f t="shared" si="21"/>
        <v>0</v>
      </c>
      <c r="S61" s="148"/>
      <c r="T61" s="148"/>
      <c r="U61" s="143"/>
    </row>
    <row r="62" spans="1:21" s="144" customFormat="1" ht="13.75" customHeight="1">
      <c r="A62" s="149" t="s">
        <v>301</v>
      </c>
      <c r="B62" s="146">
        <f>SUM(C62:D62)</f>
        <v>132125</v>
      </c>
      <c r="C62" s="146">
        <f t="shared" ref="C62:R62" si="22">SUM(C56:C61)</f>
        <v>132125</v>
      </c>
      <c r="D62" s="146">
        <f t="shared" si="22"/>
        <v>0</v>
      </c>
      <c r="E62" s="146">
        <f t="shared" si="22"/>
        <v>132125</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132125</v>
      </c>
      <c r="S62" s="148"/>
      <c r="T62" s="148"/>
      <c r="U62" s="143"/>
    </row>
    <row r="63" spans="1:21" s="144" customFormat="1">
      <c r="A63" s="154" t="s">
        <v>302</v>
      </c>
      <c r="B63" s="146">
        <f t="shared" ref="B63:R63" si="23">SUM(B8+B11+B13+B14+B15+B26+B27+B38+B42+B43+B54+B62)</f>
        <v>36602615</v>
      </c>
      <c r="C63" s="146">
        <f t="shared" si="23"/>
        <v>36602615</v>
      </c>
      <c r="D63" s="146">
        <f t="shared" si="23"/>
        <v>0</v>
      </c>
      <c r="E63" s="146">
        <f t="shared" si="23"/>
        <v>12718722</v>
      </c>
      <c r="F63" s="146">
        <f t="shared" si="23"/>
        <v>16950000</v>
      </c>
      <c r="G63" s="146">
        <f t="shared" si="23"/>
        <v>1500000</v>
      </c>
      <c r="H63" s="146">
        <f t="shared" si="23"/>
        <v>5000000</v>
      </c>
      <c r="I63" s="146">
        <f t="shared" si="23"/>
        <v>300000</v>
      </c>
      <c r="J63" s="146">
        <f t="shared" si="23"/>
        <v>0</v>
      </c>
      <c r="K63" s="146">
        <f t="shared" si="23"/>
        <v>133893</v>
      </c>
      <c r="L63" s="146">
        <f t="shared" si="23"/>
        <v>0</v>
      </c>
      <c r="M63" s="146">
        <f t="shared" si="23"/>
        <v>0</v>
      </c>
      <c r="N63" s="146">
        <f t="shared" si="23"/>
        <v>0</v>
      </c>
      <c r="O63" s="146">
        <f t="shared" si="23"/>
        <v>0</v>
      </c>
      <c r="P63" s="146">
        <f t="shared" si="23"/>
        <v>0</v>
      </c>
      <c r="Q63" s="146">
        <f t="shared" si="23"/>
        <v>0</v>
      </c>
      <c r="R63" s="342">
        <f t="shared" si="23"/>
        <v>36602615</v>
      </c>
      <c r="S63" s="146">
        <f>SUM(S10+S13+S14+S15+S26+S27+S38+S42+S43+S54)</f>
        <v>34790328</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90000</v>
      </c>
      <c r="C65" s="147">
        <v>90000</v>
      </c>
      <c r="D65" s="147"/>
      <c r="E65" s="147">
        <f t="shared" ref="E65:E69" si="24">C65-SUM(F65:Q65)</f>
        <v>90000</v>
      </c>
      <c r="F65" s="147"/>
      <c r="G65" s="147"/>
      <c r="H65" s="147"/>
      <c r="I65" s="147"/>
      <c r="J65" s="147"/>
      <c r="K65" s="147"/>
      <c r="L65" s="147"/>
      <c r="M65" s="147"/>
      <c r="N65" s="147"/>
      <c r="O65" s="147"/>
      <c r="P65" s="147"/>
      <c r="Q65" s="147"/>
      <c r="R65" s="516">
        <f>SUM(E65:Q65)</f>
        <v>90000</v>
      </c>
      <c r="S65" s="147">
        <v>56250</v>
      </c>
      <c r="T65" s="147"/>
      <c r="U65" s="143"/>
    </row>
    <row r="66" spans="1:21" s="144" customFormat="1" ht="24" customHeight="1">
      <c r="A66" s="283" t="s">
        <v>1642</v>
      </c>
      <c r="B66" s="146">
        <f>SUM(C66+D66)</f>
        <v>367000</v>
      </c>
      <c r="C66" s="147">
        <v>367000</v>
      </c>
      <c r="D66" s="147"/>
      <c r="E66" s="147">
        <f t="shared" si="24"/>
        <v>367000</v>
      </c>
      <c r="F66" s="147"/>
      <c r="G66" s="147"/>
      <c r="H66" s="147"/>
      <c r="I66" s="147"/>
      <c r="J66" s="147"/>
      <c r="K66" s="147"/>
      <c r="L66" s="147"/>
      <c r="M66" s="147"/>
      <c r="N66" s="147"/>
      <c r="O66" s="147"/>
      <c r="P66" s="147"/>
      <c r="Q66" s="147"/>
      <c r="R66" s="516">
        <f>SUM(E66:Q66)</f>
        <v>367000</v>
      </c>
      <c r="S66" s="147">
        <f>R66</f>
        <v>367000</v>
      </c>
      <c r="T66" s="147"/>
      <c r="U66" s="143"/>
    </row>
    <row r="67" spans="1:21" s="144" customFormat="1" ht="24" customHeight="1">
      <c r="A67" s="283" t="s">
        <v>1643</v>
      </c>
      <c r="B67" s="146">
        <f>SUM(C67+D67)</f>
        <v>0</v>
      </c>
      <c r="C67" s="147"/>
      <c r="D67" s="147"/>
      <c r="E67" s="147">
        <f t="shared" si="24"/>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4"/>
        <v>0</v>
      </c>
      <c r="F68" s="147"/>
      <c r="G68" s="147"/>
      <c r="H68" s="147"/>
      <c r="I68" s="147"/>
      <c r="J68" s="147"/>
      <c r="K68" s="147"/>
      <c r="L68" s="147"/>
      <c r="M68" s="147"/>
      <c r="N68" s="147"/>
      <c r="O68" s="147"/>
      <c r="P68" s="147"/>
      <c r="Q68" s="147"/>
      <c r="R68" s="516">
        <f>SUM(E68:Q68)</f>
        <v>0</v>
      </c>
      <c r="S68" s="147"/>
      <c r="T68" s="147"/>
      <c r="U68" s="143"/>
    </row>
    <row r="69" spans="1:21" s="144" customFormat="1">
      <c r="A69" s="1149" t="s">
        <v>2733</v>
      </c>
      <c r="B69" s="146">
        <f>SUM(C69+D69)</f>
        <v>240000</v>
      </c>
      <c r="C69" s="147">
        <v>240000</v>
      </c>
      <c r="D69" s="147"/>
      <c r="E69" s="147">
        <f t="shared" si="24"/>
        <v>240000</v>
      </c>
      <c r="F69" s="147"/>
      <c r="G69" s="147"/>
      <c r="H69" s="147"/>
      <c r="I69" s="147"/>
      <c r="J69" s="147"/>
      <c r="K69" s="147"/>
      <c r="L69" s="147"/>
      <c r="M69" s="147"/>
      <c r="N69" s="147"/>
      <c r="O69" s="147"/>
      <c r="P69" s="147"/>
      <c r="Q69" s="147"/>
      <c r="R69" s="516">
        <f>SUM(E69:Q69)</f>
        <v>240000</v>
      </c>
      <c r="S69" s="147">
        <v>79200</v>
      </c>
      <c r="T69" s="147"/>
      <c r="U69" s="143"/>
    </row>
    <row r="70" spans="1:21" s="144" customFormat="1">
      <c r="A70" s="149" t="s">
        <v>1646</v>
      </c>
      <c r="B70" s="146">
        <f>SUM(C70:D70)</f>
        <v>697000</v>
      </c>
      <c r="C70" s="146">
        <f>SUM(C65:C69)</f>
        <v>697000</v>
      </c>
      <c r="D70" s="146">
        <f>SUM(D65:D69)</f>
        <v>0</v>
      </c>
      <c r="E70" s="146">
        <f t="shared" ref="E70:T70" si="25">SUM(E65:E69)</f>
        <v>697000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42">
        <f t="shared" si="25"/>
        <v>697000</v>
      </c>
      <c r="S70" s="150">
        <f t="shared" si="25"/>
        <v>502450</v>
      </c>
      <c r="T70" s="150">
        <f t="shared" si="25"/>
        <v>0</v>
      </c>
      <c r="U70" s="143"/>
    </row>
    <row r="71" spans="1:21" s="144" customFormat="1" ht="12">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6">C72-SUM(F72:Q72)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si="26"/>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6"/>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434986</v>
      </c>
      <c r="C75" s="147">
        <v>434986</v>
      </c>
      <c r="D75" s="147"/>
      <c r="E75" s="147">
        <f t="shared" si="26"/>
        <v>434986</v>
      </c>
      <c r="F75" s="147"/>
      <c r="G75" s="147"/>
      <c r="H75" s="147"/>
      <c r="I75" s="147"/>
      <c r="J75" s="147"/>
      <c r="K75" s="147"/>
      <c r="L75" s="147"/>
      <c r="M75" s="147"/>
      <c r="N75" s="147"/>
      <c r="O75" s="147"/>
      <c r="P75" s="147"/>
      <c r="Q75" s="147"/>
      <c r="R75" s="516">
        <f>SUM(E75:Q75)</f>
        <v>434986</v>
      </c>
      <c r="S75" s="148"/>
      <c r="T75" s="148"/>
      <c r="U75" s="143"/>
    </row>
    <row r="76" spans="1:21" s="144" customFormat="1">
      <c r="A76" s="1149" t="s">
        <v>34</v>
      </c>
      <c r="B76" s="146">
        <f>SUM(C76+D76)</f>
        <v>0</v>
      </c>
      <c r="C76" s="147"/>
      <c r="D76" s="147"/>
      <c r="E76" s="147">
        <f t="shared" si="26"/>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434986</v>
      </c>
      <c r="C77" s="146">
        <f>SUM(C72:C76)</f>
        <v>434986</v>
      </c>
      <c r="D77" s="146">
        <f>SUM(D72:D76)</f>
        <v>0</v>
      </c>
      <c r="E77" s="146">
        <f t="shared" ref="E77:Q77" si="27">SUM(E72:E76)</f>
        <v>434986</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42">
        <f>SUM(R72:R76)</f>
        <v>434986</v>
      </c>
      <c r="S77" s="148"/>
      <c r="T77" s="148"/>
      <c r="U77" s="143"/>
    </row>
    <row r="78" spans="1:21" s="144" customFormat="1" ht="12">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1437084</v>
      </c>
      <c r="C79" s="147">
        <v>1437084</v>
      </c>
      <c r="D79" s="147"/>
      <c r="E79" s="147">
        <f t="shared" ref="E79:E80" si="28">C79-SUM(F79:Q79)</f>
        <v>1437084</v>
      </c>
      <c r="F79" s="147"/>
      <c r="G79" s="147"/>
      <c r="H79" s="147"/>
      <c r="I79" s="147"/>
      <c r="J79" s="147"/>
      <c r="K79" s="147"/>
      <c r="L79" s="147"/>
      <c r="M79" s="147"/>
      <c r="N79" s="147"/>
      <c r="O79" s="147"/>
      <c r="P79" s="147"/>
      <c r="Q79" s="147"/>
      <c r="R79" s="516">
        <f>SUM(E79:Q79)</f>
        <v>1437084</v>
      </c>
      <c r="S79" s="147">
        <f>R79</f>
        <v>1437084</v>
      </c>
      <c r="T79" s="147"/>
      <c r="U79" s="143"/>
    </row>
    <row r="80" spans="1:21" s="144" customFormat="1">
      <c r="A80" s="283" t="s">
        <v>58</v>
      </c>
      <c r="B80" s="146">
        <f>SUM(C80:D80)</f>
        <v>434802</v>
      </c>
      <c r="C80" s="147">
        <v>434802</v>
      </c>
      <c r="D80" s="147"/>
      <c r="E80" s="147">
        <f t="shared" si="28"/>
        <v>434802</v>
      </c>
      <c r="F80" s="147"/>
      <c r="G80" s="147"/>
      <c r="H80" s="147"/>
      <c r="I80" s="147"/>
      <c r="J80" s="147"/>
      <c r="K80" s="147"/>
      <c r="L80" s="147"/>
      <c r="M80" s="147"/>
      <c r="N80" s="147"/>
      <c r="O80" s="147"/>
      <c r="P80" s="147"/>
      <c r="Q80" s="147"/>
      <c r="R80" s="516">
        <f>SUM(E80:Q80)</f>
        <v>434802</v>
      </c>
      <c r="S80" s="147">
        <f>R80</f>
        <v>434802</v>
      </c>
      <c r="T80" s="147"/>
      <c r="U80" s="143"/>
    </row>
    <row r="81" spans="1:21" s="144" customFormat="1">
      <c r="A81" s="149" t="s">
        <v>1210</v>
      </c>
      <c r="B81" s="146">
        <f>SUM(C81:D81)</f>
        <v>1871886</v>
      </c>
      <c r="C81" s="509">
        <f>SUM(C79:C80)</f>
        <v>1871886</v>
      </c>
      <c r="D81" s="509">
        <f t="shared" ref="D81:T81" si="29">SUM(D79:D80)</f>
        <v>0</v>
      </c>
      <c r="E81" s="509">
        <f t="shared" si="29"/>
        <v>1871886</v>
      </c>
      <c r="F81" s="509">
        <f t="shared" si="29"/>
        <v>0</v>
      </c>
      <c r="G81" s="509">
        <f t="shared" si="29"/>
        <v>0</v>
      </c>
      <c r="H81" s="509">
        <f t="shared" si="29"/>
        <v>0</v>
      </c>
      <c r="I81" s="509">
        <f t="shared" si="29"/>
        <v>0</v>
      </c>
      <c r="J81" s="509">
        <f t="shared" si="29"/>
        <v>0</v>
      </c>
      <c r="K81" s="509">
        <f t="shared" si="29"/>
        <v>0</v>
      </c>
      <c r="L81" s="509">
        <f t="shared" si="29"/>
        <v>0</v>
      </c>
      <c r="M81" s="509">
        <f t="shared" si="29"/>
        <v>0</v>
      </c>
      <c r="N81" s="509">
        <f t="shared" si="29"/>
        <v>0</v>
      </c>
      <c r="O81" s="509">
        <f t="shared" si="29"/>
        <v>0</v>
      </c>
      <c r="P81" s="509">
        <f t="shared" si="29"/>
        <v>0</v>
      </c>
      <c r="Q81" s="509">
        <f t="shared" si="29"/>
        <v>0</v>
      </c>
      <c r="R81" s="509">
        <f t="shared" si="29"/>
        <v>1871886</v>
      </c>
      <c r="S81" s="509">
        <f t="shared" si="29"/>
        <v>1871886</v>
      </c>
      <c r="T81" s="509">
        <f t="shared" si="29"/>
        <v>0</v>
      </c>
      <c r="U81" s="143"/>
    </row>
    <row r="82" spans="1:21" s="144" customFormat="1" ht="12">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2096</v>
      </c>
      <c r="B83" s="146">
        <f t="shared" ref="B83:B95" si="30">SUM(C83+D83)</f>
        <v>87547</v>
      </c>
      <c r="C83" s="147">
        <v>87547</v>
      </c>
      <c r="D83" s="147"/>
      <c r="E83" s="147">
        <f t="shared" ref="E83:E95" si="31">C83-SUM(F83:Q83)</f>
        <v>87547</v>
      </c>
      <c r="F83" s="147"/>
      <c r="G83" s="147"/>
      <c r="H83" s="147"/>
      <c r="I83" s="147"/>
      <c r="J83" s="147"/>
      <c r="K83" s="147"/>
      <c r="L83" s="147"/>
      <c r="M83" s="147"/>
      <c r="N83" s="147"/>
      <c r="O83" s="147"/>
      <c r="P83" s="147"/>
      <c r="Q83" s="147"/>
      <c r="R83" s="516">
        <f t="shared" ref="R83:R95" si="32">SUM(E83:Q83)</f>
        <v>87547</v>
      </c>
      <c r="S83" s="148"/>
      <c r="T83" s="148"/>
      <c r="U83" s="143"/>
    </row>
    <row r="84" spans="1:21" s="144" customFormat="1">
      <c r="A84" s="145" t="s">
        <v>768</v>
      </c>
      <c r="B84" s="146">
        <f t="shared" si="30"/>
        <v>30000</v>
      </c>
      <c r="C84" s="147">
        <v>30000</v>
      </c>
      <c r="D84" s="147"/>
      <c r="E84" s="147">
        <f t="shared" si="31"/>
        <v>30000</v>
      </c>
      <c r="F84" s="147"/>
      <c r="G84" s="147"/>
      <c r="H84" s="147"/>
      <c r="I84" s="147"/>
      <c r="J84" s="147"/>
      <c r="K84" s="147"/>
      <c r="L84" s="147"/>
      <c r="M84" s="147"/>
      <c r="N84" s="147"/>
      <c r="O84" s="147"/>
      <c r="P84" s="147"/>
      <c r="Q84" s="147"/>
      <c r="R84" s="516">
        <f t="shared" si="32"/>
        <v>30000</v>
      </c>
      <c r="S84" s="147">
        <f>R84</f>
        <v>30000</v>
      </c>
      <c r="T84" s="147"/>
      <c r="U84" s="143"/>
    </row>
    <row r="85" spans="1:21" s="144" customFormat="1">
      <c r="A85" s="145" t="s">
        <v>769</v>
      </c>
      <c r="B85" s="146">
        <f t="shared" si="30"/>
        <v>1970204</v>
      </c>
      <c r="C85" s="147">
        <f>(924419+505657+540128)+(2649474-679270)*0</f>
        <v>1970204</v>
      </c>
      <c r="D85" s="147"/>
      <c r="E85" s="147">
        <f t="shared" si="31"/>
        <v>1970204</v>
      </c>
      <c r="F85" s="147"/>
      <c r="G85" s="147"/>
      <c r="H85" s="147"/>
      <c r="I85" s="147"/>
      <c r="J85" s="147"/>
      <c r="K85" s="147"/>
      <c r="L85" s="147"/>
      <c r="M85" s="147"/>
      <c r="N85" s="147"/>
      <c r="O85" s="147"/>
      <c r="P85" s="147"/>
      <c r="Q85" s="147"/>
      <c r="R85" s="516">
        <f t="shared" si="32"/>
        <v>1970204</v>
      </c>
      <c r="S85" s="147">
        <f>R85</f>
        <v>1970204</v>
      </c>
      <c r="T85" s="147"/>
      <c r="U85" s="143"/>
    </row>
    <row r="86" spans="1:21" s="144" customFormat="1">
      <c r="A86" s="145" t="s">
        <v>770</v>
      </c>
      <c r="B86" s="146">
        <f t="shared" si="30"/>
        <v>1274270</v>
      </c>
      <c r="C86" s="147">
        <f>595000+679270</f>
        <v>1274270</v>
      </c>
      <c r="D86" s="147"/>
      <c r="E86" s="147">
        <f t="shared" si="31"/>
        <v>1274270</v>
      </c>
      <c r="F86" s="147"/>
      <c r="G86" s="147"/>
      <c r="H86" s="147"/>
      <c r="I86" s="147"/>
      <c r="J86" s="147"/>
      <c r="K86" s="147"/>
      <c r="L86" s="147"/>
      <c r="M86" s="147"/>
      <c r="N86" s="147"/>
      <c r="O86" s="147"/>
      <c r="P86" s="147"/>
      <c r="Q86" s="147"/>
      <c r="R86" s="516">
        <f t="shared" si="32"/>
        <v>1274270</v>
      </c>
      <c r="S86" s="147">
        <f>R86</f>
        <v>1274270</v>
      </c>
      <c r="T86" s="147"/>
      <c r="U86" s="143"/>
    </row>
    <row r="87" spans="1:21" s="144" customFormat="1">
      <c r="A87" s="145" t="s">
        <v>771</v>
      </c>
      <c r="B87" s="146">
        <f t="shared" si="30"/>
        <v>0</v>
      </c>
      <c r="C87" s="147"/>
      <c r="D87" s="147"/>
      <c r="E87" s="147">
        <f t="shared" si="31"/>
        <v>0</v>
      </c>
      <c r="F87" s="147"/>
      <c r="G87" s="147"/>
      <c r="H87" s="147"/>
      <c r="I87" s="147"/>
      <c r="J87" s="147"/>
      <c r="K87" s="147"/>
      <c r="L87" s="147"/>
      <c r="M87" s="147"/>
      <c r="N87" s="147"/>
      <c r="O87" s="147"/>
      <c r="P87" s="147"/>
      <c r="Q87" s="147"/>
      <c r="R87" s="516">
        <f t="shared" si="32"/>
        <v>0</v>
      </c>
      <c r="S87" s="147"/>
      <c r="T87" s="147"/>
      <c r="U87" s="143"/>
    </row>
    <row r="88" spans="1:21" s="144" customFormat="1">
      <c r="A88" s="145" t="s">
        <v>772</v>
      </c>
      <c r="B88" s="146">
        <f t="shared" si="30"/>
        <v>248000</v>
      </c>
      <c r="C88" s="147">
        <v>248000</v>
      </c>
      <c r="D88" s="147"/>
      <c r="E88" s="147">
        <f t="shared" si="31"/>
        <v>248000</v>
      </c>
      <c r="F88" s="147"/>
      <c r="G88" s="147"/>
      <c r="H88" s="147"/>
      <c r="I88" s="147"/>
      <c r="J88" s="147"/>
      <c r="K88" s="147"/>
      <c r="L88" s="147"/>
      <c r="M88" s="147"/>
      <c r="N88" s="147"/>
      <c r="O88" s="147"/>
      <c r="P88" s="147"/>
      <c r="Q88" s="147"/>
      <c r="R88" s="516">
        <f t="shared" si="32"/>
        <v>248000</v>
      </c>
      <c r="S88" s="148"/>
      <c r="T88" s="148"/>
      <c r="U88" s="143"/>
    </row>
    <row r="89" spans="1:21" s="144" customFormat="1">
      <c r="A89" s="145" t="s">
        <v>773</v>
      </c>
      <c r="B89" s="146">
        <f t="shared" si="30"/>
        <v>25000</v>
      </c>
      <c r="C89" s="147">
        <v>25000</v>
      </c>
      <c r="D89" s="147"/>
      <c r="E89" s="147">
        <f t="shared" si="31"/>
        <v>25000</v>
      </c>
      <c r="F89" s="147"/>
      <c r="G89" s="147"/>
      <c r="H89" s="147"/>
      <c r="I89" s="147"/>
      <c r="J89" s="147"/>
      <c r="K89" s="147"/>
      <c r="L89" s="147"/>
      <c r="M89" s="147"/>
      <c r="N89" s="147"/>
      <c r="O89" s="147"/>
      <c r="P89" s="147"/>
      <c r="Q89" s="147"/>
      <c r="R89" s="516">
        <f t="shared" si="32"/>
        <v>25000</v>
      </c>
      <c r="S89" s="147">
        <f>R89</f>
        <v>25000</v>
      </c>
      <c r="T89" s="147"/>
      <c r="U89" s="143"/>
    </row>
    <row r="90" spans="1:21" s="144" customFormat="1">
      <c r="A90" s="145" t="s">
        <v>774</v>
      </c>
      <c r="B90" s="146">
        <f t="shared" si="30"/>
        <v>10000</v>
      </c>
      <c r="C90" s="147">
        <v>10000</v>
      </c>
      <c r="D90" s="147"/>
      <c r="E90" s="147">
        <f t="shared" si="31"/>
        <v>10000</v>
      </c>
      <c r="F90" s="147"/>
      <c r="G90" s="147"/>
      <c r="H90" s="147"/>
      <c r="I90" s="147"/>
      <c r="J90" s="147"/>
      <c r="K90" s="147"/>
      <c r="L90" s="147"/>
      <c r="M90" s="147"/>
      <c r="N90" s="147"/>
      <c r="O90" s="147"/>
      <c r="P90" s="147"/>
      <c r="Q90" s="147"/>
      <c r="R90" s="516">
        <f t="shared" si="32"/>
        <v>10000</v>
      </c>
      <c r="S90" s="147">
        <f>R90</f>
        <v>10000</v>
      </c>
      <c r="T90" s="147"/>
      <c r="U90" s="143"/>
    </row>
    <row r="91" spans="1:21" s="144" customFormat="1">
      <c r="A91" s="145" t="s">
        <v>372</v>
      </c>
      <c r="B91" s="146">
        <f t="shared" si="30"/>
        <v>62500</v>
      </c>
      <c r="C91" s="147">
        <v>62500</v>
      </c>
      <c r="D91" s="147"/>
      <c r="E91" s="147">
        <f t="shared" si="31"/>
        <v>62500</v>
      </c>
      <c r="F91" s="147"/>
      <c r="G91" s="147"/>
      <c r="H91" s="147"/>
      <c r="I91" s="147"/>
      <c r="J91" s="147"/>
      <c r="K91" s="147"/>
      <c r="L91" s="147"/>
      <c r="M91" s="147"/>
      <c r="N91" s="147"/>
      <c r="O91" s="147"/>
      <c r="P91" s="147"/>
      <c r="Q91" s="147"/>
      <c r="R91" s="516">
        <f t="shared" si="32"/>
        <v>62500</v>
      </c>
      <c r="S91" s="147">
        <f>R91</f>
        <v>62500</v>
      </c>
      <c r="T91" s="147"/>
      <c r="U91" s="143"/>
    </row>
    <row r="92" spans="1:21" s="144" customFormat="1">
      <c r="A92" s="283" t="s">
        <v>1212</v>
      </c>
      <c r="B92" s="146">
        <f t="shared" si="30"/>
        <v>10000</v>
      </c>
      <c r="C92" s="147">
        <v>10000</v>
      </c>
      <c r="D92" s="147"/>
      <c r="E92" s="147">
        <f t="shared" si="31"/>
        <v>10000</v>
      </c>
      <c r="F92" s="147"/>
      <c r="G92" s="147"/>
      <c r="H92" s="147"/>
      <c r="I92" s="147"/>
      <c r="J92" s="147"/>
      <c r="K92" s="147"/>
      <c r="L92" s="147"/>
      <c r="M92" s="147"/>
      <c r="N92" s="147"/>
      <c r="O92" s="147"/>
      <c r="P92" s="147"/>
      <c r="Q92" s="147"/>
      <c r="R92" s="516">
        <f t="shared" si="32"/>
        <v>10000</v>
      </c>
      <c r="S92" s="147">
        <f>R92</f>
        <v>10000</v>
      </c>
      <c r="T92" s="147"/>
      <c r="U92" s="143"/>
    </row>
    <row r="93" spans="1:21" s="144" customFormat="1">
      <c r="A93" s="1149" t="s">
        <v>34</v>
      </c>
      <c r="B93" s="146">
        <f t="shared" si="30"/>
        <v>0</v>
      </c>
      <c r="C93" s="147"/>
      <c r="D93" s="147"/>
      <c r="E93" s="147">
        <f t="shared" si="31"/>
        <v>0</v>
      </c>
      <c r="F93" s="147"/>
      <c r="G93" s="147"/>
      <c r="H93" s="147"/>
      <c r="I93" s="147"/>
      <c r="J93" s="147"/>
      <c r="K93" s="147"/>
      <c r="L93" s="147"/>
      <c r="M93" s="147"/>
      <c r="N93" s="147"/>
      <c r="O93" s="147"/>
      <c r="P93" s="147"/>
      <c r="Q93" s="147"/>
      <c r="R93" s="516">
        <f t="shared" si="32"/>
        <v>0</v>
      </c>
      <c r="S93" s="147"/>
      <c r="T93" s="147"/>
      <c r="U93" s="143"/>
    </row>
    <row r="94" spans="1:21" s="144" customFormat="1">
      <c r="A94" s="1149" t="s">
        <v>34</v>
      </c>
      <c r="B94" s="146">
        <f t="shared" si="30"/>
        <v>0</v>
      </c>
      <c r="C94" s="147"/>
      <c r="D94" s="147"/>
      <c r="E94" s="147">
        <f t="shared" si="31"/>
        <v>0</v>
      </c>
      <c r="F94" s="147"/>
      <c r="G94" s="147"/>
      <c r="H94" s="147"/>
      <c r="I94" s="147"/>
      <c r="J94" s="147"/>
      <c r="K94" s="147"/>
      <c r="L94" s="147"/>
      <c r="M94" s="147"/>
      <c r="N94" s="147"/>
      <c r="O94" s="147"/>
      <c r="P94" s="147"/>
      <c r="Q94" s="147"/>
      <c r="R94" s="516">
        <f t="shared" si="32"/>
        <v>0</v>
      </c>
      <c r="S94" s="147"/>
      <c r="T94" s="147"/>
      <c r="U94" s="143"/>
    </row>
    <row r="95" spans="1:21" s="144" customFormat="1">
      <c r="A95" s="1149" t="s">
        <v>34</v>
      </c>
      <c r="B95" s="146">
        <f t="shared" si="30"/>
        <v>0</v>
      </c>
      <c r="C95" s="147"/>
      <c r="D95" s="147"/>
      <c r="E95" s="147">
        <f t="shared" si="31"/>
        <v>0</v>
      </c>
      <c r="F95" s="147"/>
      <c r="G95" s="147"/>
      <c r="H95" s="147"/>
      <c r="I95" s="147"/>
      <c r="J95" s="147"/>
      <c r="K95" s="147"/>
      <c r="L95" s="147"/>
      <c r="M95" s="147"/>
      <c r="N95" s="147"/>
      <c r="O95" s="147"/>
      <c r="P95" s="147"/>
      <c r="Q95" s="147"/>
      <c r="R95" s="516">
        <f t="shared" si="32"/>
        <v>0</v>
      </c>
      <c r="S95" s="147"/>
      <c r="T95" s="147"/>
      <c r="U95" s="143"/>
    </row>
    <row r="96" spans="1:21" s="144" customFormat="1">
      <c r="A96" s="149" t="s">
        <v>775</v>
      </c>
      <c r="B96" s="146">
        <f>SUM(C96:D96)</f>
        <v>3717521</v>
      </c>
      <c r="C96" s="146">
        <f t="shared" ref="C96:R96" si="33">SUM(C83:C95)</f>
        <v>3717521</v>
      </c>
      <c r="D96" s="146">
        <f t="shared" si="33"/>
        <v>0</v>
      </c>
      <c r="E96" s="146">
        <f t="shared" si="33"/>
        <v>3717521</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42">
        <f t="shared" si="33"/>
        <v>3717521</v>
      </c>
      <c r="S96" s="150">
        <f>SUM(S84:S87,S89:S95)</f>
        <v>3381974</v>
      </c>
      <c r="T96" s="146">
        <f>SUM(T84:T87,T89:T95)</f>
        <v>0</v>
      </c>
      <c r="U96" s="143"/>
    </row>
    <row r="97" spans="1:21" s="144" customFormat="1">
      <c r="A97" s="149" t="s">
        <v>776</v>
      </c>
      <c r="B97" s="146">
        <f>SUM(C97:D97)</f>
        <v>43324008</v>
      </c>
      <c r="C97" s="146">
        <f t="shared" ref="C97:R97" si="34">SUM(C63+C70+C77+C81+C96)</f>
        <v>43324008</v>
      </c>
      <c r="D97" s="146">
        <f t="shared" si="34"/>
        <v>0</v>
      </c>
      <c r="E97" s="146">
        <f t="shared" si="34"/>
        <v>19440115</v>
      </c>
      <c r="F97" s="146">
        <f t="shared" si="34"/>
        <v>16950000</v>
      </c>
      <c r="G97" s="146">
        <f t="shared" si="34"/>
        <v>1500000</v>
      </c>
      <c r="H97" s="146">
        <f t="shared" si="34"/>
        <v>5000000</v>
      </c>
      <c r="I97" s="146">
        <f t="shared" si="34"/>
        <v>300000</v>
      </c>
      <c r="J97" s="146">
        <f t="shared" si="34"/>
        <v>0</v>
      </c>
      <c r="K97" s="146">
        <f t="shared" si="34"/>
        <v>133893</v>
      </c>
      <c r="L97" s="146">
        <f t="shared" si="34"/>
        <v>0</v>
      </c>
      <c r="M97" s="146">
        <f t="shared" si="34"/>
        <v>0</v>
      </c>
      <c r="N97" s="146">
        <f t="shared" si="34"/>
        <v>0</v>
      </c>
      <c r="O97" s="146">
        <f t="shared" si="34"/>
        <v>0</v>
      </c>
      <c r="P97" s="146">
        <f t="shared" si="34"/>
        <v>0</v>
      </c>
      <c r="Q97" s="146">
        <f t="shared" si="34"/>
        <v>0</v>
      </c>
      <c r="R97" s="146">
        <f t="shared" si="34"/>
        <v>43324008</v>
      </c>
      <c r="S97" s="146">
        <f>SUM(S63+S70+S81+S96)</f>
        <v>40546638</v>
      </c>
      <c r="T97" s="146">
        <f>SUM(T63+T70+T81+T96)</f>
        <v>0</v>
      </c>
      <c r="U97" s="143"/>
    </row>
    <row r="98" spans="1:21" s="144" customFormat="1" ht="12">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6081996</v>
      </c>
      <c r="C99" s="979">
        <v>6081996</v>
      </c>
      <c r="D99" s="979"/>
      <c r="E99" s="979">
        <f t="shared" ref="E99:E103" si="35">C99-SUM(F99:Q99)</f>
        <v>1654679</v>
      </c>
      <c r="F99" s="147"/>
      <c r="G99" s="147"/>
      <c r="H99" s="147"/>
      <c r="I99" s="147"/>
      <c r="J99" s="147">
        <f>Application!AO631</f>
        <v>4427317</v>
      </c>
      <c r="K99" s="147"/>
      <c r="L99" s="147"/>
      <c r="M99" s="147"/>
      <c r="N99" s="147"/>
      <c r="O99" s="147"/>
      <c r="P99" s="147"/>
      <c r="Q99" s="147"/>
      <c r="R99" s="516">
        <f>SUM(E99:Q99)</f>
        <v>6081996</v>
      </c>
      <c r="S99" s="147">
        <f>R99</f>
        <v>6081996</v>
      </c>
      <c r="T99" s="147"/>
      <c r="U99" s="143"/>
    </row>
    <row r="100" spans="1:21" s="144" customFormat="1">
      <c r="A100" s="283" t="s">
        <v>1647</v>
      </c>
      <c r="B100" s="146">
        <f>SUM(C100+D100)</f>
        <v>0</v>
      </c>
      <c r="C100" s="147"/>
      <c r="D100" s="147"/>
      <c r="E100" s="147">
        <f t="shared" si="35"/>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5"/>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f t="shared" si="35"/>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5"/>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6081996</v>
      </c>
      <c r="C104" s="146">
        <f>SUM(C99:C103)</f>
        <v>6081996</v>
      </c>
      <c r="D104" s="146">
        <f t="shared" ref="D104:T104" si="36">SUM(D99:D103)</f>
        <v>0</v>
      </c>
      <c r="E104" s="146">
        <f t="shared" si="36"/>
        <v>1654679</v>
      </c>
      <c r="F104" s="146">
        <f t="shared" si="36"/>
        <v>0</v>
      </c>
      <c r="G104" s="146">
        <f t="shared" si="36"/>
        <v>0</v>
      </c>
      <c r="H104" s="146">
        <f t="shared" si="36"/>
        <v>0</v>
      </c>
      <c r="I104" s="146">
        <f t="shared" si="36"/>
        <v>0</v>
      </c>
      <c r="J104" s="146">
        <f t="shared" si="36"/>
        <v>4427317</v>
      </c>
      <c r="K104" s="146">
        <f t="shared" si="36"/>
        <v>0</v>
      </c>
      <c r="L104" s="146">
        <f t="shared" si="36"/>
        <v>0</v>
      </c>
      <c r="M104" s="146">
        <f t="shared" si="36"/>
        <v>0</v>
      </c>
      <c r="N104" s="146">
        <f t="shared" si="36"/>
        <v>0</v>
      </c>
      <c r="O104" s="146">
        <f t="shared" si="36"/>
        <v>0</v>
      </c>
      <c r="P104" s="146">
        <f t="shared" si="36"/>
        <v>0</v>
      </c>
      <c r="Q104" s="146">
        <f t="shared" si="36"/>
        <v>0</v>
      </c>
      <c r="R104" s="342">
        <f t="shared" si="36"/>
        <v>6081996</v>
      </c>
      <c r="S104" s="150">
        <f t="shared" si="36"/>
        <v>6081996</v>
      </c>
      <c r="T104" s="150">
        <f t="shared" si="36"/>
        <v>0</v>
      </c>
      <c r="U104" s="143"/>
    </row>
    <row r="105" spans="1:21" s="144" customFormat="1">
      <c r="A105" s="149" t="s">
        <v>781</v>
      </c>
      <c r="B105" s="150">
        <f>SUM(C105:D105)</f>
        <v>49406004</v>
      </c>
      <c r="C105" s="150">
        <f t="shared" ref="C105:R105" si="37">SUM(C97+C104)</f>
        <v>49406004</v>
      </c>
      <c r="D105" s="150">
        <f t="shared" si="37"/>
        <v>0</v>
      </c>
      <c r="E105" s="150">
        <f t="shared" si="37"/>
        <v>21094794</v>
      </c>
      <c r="F105" s="150">
        <f t="shared" si="37"/>
        <v>16950000</v>
      </c>
      <c r="G105" s="150">
        <f t="shared" si="37"/>
        <v>1500000</v>
      </c>
      <c r="H105" s="150">
        <f t="shared" si="37"/>
        <v>5000000</v>
      </c>
      <c r="I105" s="150">
        <f t="shared" si="37"/>
        <v>300000</v>
      </c>
      <c r="J105" s="150">
        <f t="shared" si="37"/>
        <v>4427317</v>
      </c>
      <c r="K105" s="150">
        <f t="shared" si="37"/>
        <v>133893</v>
      </c>
      <c r="L105" s="150">
        <f t="shared" si="37"/>
        <v>0</v>
      </c>
      <c r="M105" s="150">
        <f t="shared" si="37"/>
        <v>0</v>
      </c>
      <c r="N105" s="150">
        <f t="shared" si="37"/>
        <v>0</v>
      </c>
      <c r="O105" s="150">
        <f t="shared" si="37"/>
        <v>0</v>
      </c>
      <c r="P105" s="150">
        <f t="shared" si="37"/>
        <v>0</v>
      </c>
      <c r="Q105" s="150">
        <f t="shared" si="37"/>
        <v>0</v>
      </c>
      <c r="R105" s="342">
        <f t="shared" si="37"/>
        <v>49406004</v>
      </c>
      <c r="S105" s="150">
        <f>S97+S104</f>
        <v>46628634</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46628634</v>
      </c>
      <c r="T107" s="150">
        <f>T105+T106</f>
        <v>0</v>
      </c>
    </row>
    <row r="108" spans="1:21" s="189" customFormat="1">
      <c r="A108" s="162" t="s">
        <v>880</v>
      </c>
      <c r="B108" s="157"/>
      <c r="C108" s="157"/>
      <c r="D108" s="157"/>
      <c r="E108" s="301">
        <f>Application!AO640</f>
        <v>21094794</v>
      </c>
      <c r="F108" s="301">
        <f>Application!AO627</f>
        <v>16950000</v>
      </c>
      <c r="G108" s="301">
        <f>Application!AO628</f>
        <v>1500000</v>
      </c>
      <c r="H108" s="301">
        <f>Application!AO629</f>
        <v>5000000</v>
      </c>
      <c r="I108" s="301">
        <f>Application!AO630</f>
        <v>300000</v>
      </c>
      <c r="J108" s="301">
        <f>Application!AO631</f>
        <v>4427317</v>
      </c>
      <c r="K108" s="301">
        <f>Application!AO632</f>
        <v>133893</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5">
      <c r="A121" s="338" t="s">
        <v>1006</v>
      </c>
      <c r="B121" s="157"/>
      <c r="C121" s="157"/>
      <c r="D121" s="157"/>
    </row>
    <row r="122" spans="1:21">
      <c r="A122" s="325" t="s">
        <v>990</v>
      </c>
      <c r="B122" s="324"/>
      <c r="C122" s="324"/>
      <c r="D122" s="1873" t="s">
        <v>991</v>
      </c>
      <c r="E122" s="1873"/>
      <c r="F122" s="1873"/>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5" t="s">
        <v>1225</v>
      </c>
      <c r="E123" s="1557"/>
      <c r="F123" s="1557"/>
      <c r="G123" s="1557"/>
      <c r="H123" s="1557"/>
      <c r="I123" s="1557"/>
      <c r="J123" s="1557"/>
      <c r="K123" s="1557"/>
      <c r="L123" s="1557"/>
      <c r="M123" s="1557"/>
      <c r="N123" s="1557"/>
      <c r="O123" s="1557"/>
      <c r="P123" s="1557"/>
      <c r="Q123" s="1557"/>
      <c r="R123" s="1557"/>
      <c r="S123" s="1557"/>
      <c r="T123" s="324"/>
      <c r="U123" s="326"/>
    </row>
    <row r="124" spans="1:21" ht="12.5">
      <c r="A124" s="117" t="s">
        <v>993</v>
      </c>
      <c r="B124" s="333"/>
      <c r="C124" s="117"/>
      <c r="D124" s="1557"/>
      <c r="E124" s="1557"/>
      <c r="F124" s="1557"/>
      <c r="G124" s="1557"/>
      <c r="H124" s="1557"/>
      <c r="I124" s="1557"/>
      <c r="J124" s="1557"/>
      <c r="K124" s="1557"/>
      <c r="L124" s="1557"/>
      <c r="M124" s="1557"/>
      <c r="N124" s="1557"/>
      <c r="O124" s="1557"/>
      <c r="P124" s="1557"/>
      <c r="Q124" s="1557"/>
      <c r="R124" s="1557"/>
      <c r="S124" s="1557"/>
      <c r="T124" s="324"/>
      <c r="U124" s="326"/>
    </row>
    <row r="125" spans="1:21" ht="12.5">
      <c r="A125" s="117" t="s">
        <v>994</v>
      </c>
      <c r="B125" s="333"/>
      <c r="C125" s="117"/>
      <c r="D125" s="1557"/>
      <c r="E125" s="1557"/>
      <c r="F125" s="1557"/>
      <c r="G125" s="1557"/>
      <c r="H125" s="1557"/>
      <c r="I125" s="1557"/>
      <c r="J125" s="1557"/>
      <c r="K125" s="1557"/>
      <c r="L125" s="1557"/>
      <c r="M125" s="1557"/>
      <c r="N125" s="1557"/>
      <c r="O125" s="1557"/>
      <c r="P125" s="1557"/>
      <c r="Q125" s="1557"/>
      <c r="R125" s="1557"/>
      <c r="S125" s="1557"/>
      <c r="T125" s="324"/>
      <c r="U125" s="326"/>
    </row>
    <row r="126" spans="1:21" ht="12.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997</v>
      </c>
      <c r="B128" s="333"/>
      <c r="C128" s="117"/>
      <c r="D128" s="1868"/>
      <c r="E128" s="1868"/>
      <c r="F128" s="1868"/>
      <c r="G128" s="1868"/>
      <c r="H128" s="1868"/>
      <c r="I128" s="117"/>
      <c r="J128" s="1864"/>
      <c r="K128" s="1864"/>
      <c r="L128" s="117"/>
      <c r="M128" s="117"/>
      <c r="N128" s="117"/>
      <c r="O128" s="117"/>
      <c r="P128" s="117"/>
      <c r="Q128" s="117"/>
      <c r="R128" s="117"/>
      <c r="S128" s="117"/>
      <c r="T128" s="324"/>
      <c r="U128" s="326"/>
    </row>
    <row r="129" spans="1:21" ht="12.5">
      <c r="A129" s="117" t="s">
        <v>300</v>
      </c>
      <c r="B129" s="333"/>
      <c r="C129" s="117"/>
      <c r="D129" s="1872" t="s">
        <v>998</v>
      </c>
      <c r="E129" s="1872"/>
      <c r="F129" s="1872"/>
      <c r="G129" s="1872"/>
      <c r="H129" s="1872"/>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6" t="s">
        <v>1001</v>
      </c>
      <c r="E132" s="1866"/>
      <c r="F132" s="1866"/>
      <c r="G132" s="1866"/>
      <c r="H132" s="1866"/>
      <c r="I132" s="117"/>
      <c r="J132" s="1866" t="s">
        <v>1002</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8"/>
      <c r="C138" s="1868"/>
      <c r="D138" s="328"/>
      <c r="E138" s="1864"/>
      <c r="F138" s="1864"/>
      <c r="G138" s="117"/>
      <c r="H138" s="117"/>
      <c r="I138" s="117"/>
      <c r="J138" s="117"/>
      <c r="K138" s="117"/>
      <c r="L138" s="117"/>
      <c r="M138" s="117"/>
      <c r="N138" s="117"/>
      <c r="O138" s="117"/>
      <c r="P138" s="117"/>
      <c r="Q138" s="117"/>
      <c r="R138" s="117"/>
      <c r="S138" s="117"/>
      <c r="T138" s="330"/>
      <c r="U138" s="331"/>
    </row>
    <row r="139" spans="1:21" ht="13">
      <c r="A139" s="1863" t="s">
        <v>1005</v>
      </c>
      <c r="B139" s="1863"/>
      <c r="C139" s="1863"/>
      <c r="D139" s="328"/>
      <c r="E139" s="117" t="s">
        <v>999</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6" t="s">
        <v>1228</v>
      </c>
      <c r="B1" s="1877"/>
      <c r="C1" s="1877"/>
      <c r="D1" s="1877"/>
      <c r="E1" s="1877"/>
      <c r="F1" s="1877"/>
      <c r="G1" s="1877"/>
      <c r="H1" s="1877"/>
      <c r="I1" s="1877"/>
      <c r="J1" s="1878"/>
      <c r="K1" s="355"/>
    </row>
    <row r="2" spans="1:11" s="401" customFormat="1" ht="69">
      <c r="A2" s="398"/>
      <c r="B2" s="399" t="s">
        <v>1028</v>
      </c>
      <c r="C2" s="399" t="s">
        <v>1230</v>
      </c>
      <c r="D2" s="399" t="s">
        <v>1231</v>
      </c>
      <c r="E2" s="399" t="s">
        <v>1159</v>
      </c>
      <c r="F2" s="399" t="s">
        <v>1232</v>
      </c>
      <c r="G2" s="399" t="s">
        <v>1233</v>
      </c>
      <c r="H2" s="399" t="s">
        <v>1029</v>
      </c>
      <c r="I2" s="399" t="s">
        <v>1234</v>
      </c>
      <c r="J2" s="399" t="s">
        <v>1235</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1</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599</v>
      </c>
      <c r="B29" s="361">
        <f>'Sources and Uses Budget'!C29</f>
        <v>1600000</v>
      </c>
      <c r="C29" s="362"/>
      <c r="D29" s="362"/>
      <c r="E29" s="361">
        <f>'Sources and Uses Budget'!S29</f>
        <v>1600000</v>
      </c>
      <c r="F29" s="362"/>
      <c r="G29" s="362"/>
      <c r="H29" s="361">
        <f>'Sources and Uses Budget'!T29</f>
        <v>0</v>
      </c>
      <c r="I29" s="362"/>
      <c r="J29" s="362"/>
      <c r="K29" s="359"/>
    </row>
    <row r="30" spans="1:11" s="360" customFormat="1">
      <c r="A30" s="145" t="s">
        <v>600</v>
      </c>
      <c r="B30" s="361">
        <f>'Sources and Uses Budget'!C30</f>
        <v>24112000</v>
      </c>
      <c r="C30" s="362"/>
      <c r="D30" s="362"/>
      <c r="E30" s="361">
        <f>'Sources and Uses Budget'!S30</f>
        <v>24112000</v>
      </c>
      <c r="F30" s="362"/>
      <c r="G30" s="362"/>
      <c r="H30" s="361">
        <f>'Sources and Uses Budget'!T30</f>
        <v>0</v>
      </c>
      <c r="I30" s="362"/>
      <c r="J30" s="362"/>
      <c r="K30" s="359"/>
    </row>
    <row r="31" spans="1:11" s="360" customFormat="1">
      <c r="A31" s="145" t="s">
        <v>601</v>
      </c>
      <c r="B31" s="361">
        <f>'Sources and Uses Budget'!C31</f>
        <v>1008480</v>
      </c>
      <c r="C31" s="362"/>
      <c r="D31" s="362"/>
      <c r="E31" s="361">
        <f>'Sources and Uses Budget'!S31</f>
        <v>1008480</v>
      </c>
      <c r="F31" s="362"/>
      <c r="G31" s="362"/>
      <c r="H31" s="361">
        <f>'Sources and Uses Budget'!T31</f>
        <v>0</v>
      </c>
      <c r="I31" s="362"/>
      <c r="J31" s="362"/>
      <c r="K31" s="359"/>
    </row>
    <row r="32" spans="1:11" s="360" customFormat="1">
      <c r="A32" s="145" t="s">
        <v>137</v>
      </c>
      <c r="B32" s="361">
        <f>'Sources and Uses Budget'!C32</f>
        <v>756360</v>
      </c>
      <c r="C32" s="362"/>
      <c r="D32" s="362"/>
      <c r="E32" s="361">
        <f>'Sources and Uses Budget'!S32</f>
        <v>756360</v>
      </c>
      <c r="F32" s="362"/>
      <c r="G32" s="362"/>
      <c r="H32" s="361">
        <f>'Sources and Uses Budget'!T32</f>
        <v>0</v>
      </c>
      <c r="I32" s="362"/>
      <c r="J32" s="362"/>
      <c r="K32" s="359"/>
    </row>
    <row r="33" spans="1:11" s="360" customFormat="1">
      <c r="A33" s="145" t="s">
        <v>138</v>
      </c>
      <c r="B33" s="361">
        <f>'Sources and Uses Budget'!C33</f>
        <v>1264840</v>
      </c>
      <c r="C33" s="362"/>
      <c r="D33" s="362"/>
      <c r="E33" s="361">
        <f>'Sources and Uses Budget'!S33</f>
        <v>1264840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28741680</v>
      </c>
      <c r="C38" s="361">
        <f>SUM(C29:C37)</f>
        <v>0</v>
      </c>
      <c r="D38" s="361">
        <f>SUM(D29:D37)</f>
        <v>0</v>
      </c>
      <c r="E38" s="361">
        <f>'Sources and Uses Budget'!S38</f>
        <v>28741680</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925000</v>
      </c>
      <c r="C40" s="362"/>
      <c r="D40" s="362"/>
      <c r="E40" s="361">
        <f>'Sources and Uses Budget'!S40</f>
        <v>925000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925000</v>
      </c>
      <c r="C42" s="361">
        <f>SUM(C39:C41)</f>
        <v>0</v>
      </c>
      <c r="D42" s="361">
        <f>SUM(D39:D41)</f>
        <v>0</v>
      </c>
      <c r="E42" s="361">
        <f>'Sources and Uses Budget'!S42</f>
        <v>925000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1200000</v>
      </c>
      <c r="C43" s="362"/>
      <c r="D43" s="362"/>
      <c r="E43" s="361">
        <f>'Sources and Uses Budget'!S43</f>
        <v>1200000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3746884</v>
      </c>
      <c r="C45" s="362"/>
      <c r="D45" s="362"/>
      <c r="E45" s="361">
        <f>'Sources and Uses Budget'!S45</f>
        <v>2530523</v>
      </c>
      <c r="F45" s="362"/>
      <c r="G45" s="362"/>
      <c r="H45" s="361">
        <f>'Sources and Uses Budget'!T45</f>
        <v>0</v>
      </c>
      <c r="I45" s="362"/>
      <c r="J45" s="362"/>
      <c r="K45" s="359"/>
    </row>
    <row r="46" spans="1:11" s="360" customFormat="1">
      <c r="A46" s="364" t="s">
        <v>151</v>
      </c>
      <c r="B46" s="361">
        <f>'Sources and Uses Budget'!C46</f>
        <v>375000</v>
      </c>
      <c r="C46" s="362"/>
      <c r="D46" s="362"/>
      <c r="E46" s="361">
        <f>'Sources and Uses Budget'!S46</f>
        <v>78750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129425</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152500</v>
      </c>
      <c r="C50" s="362"/>
      <c r="D50" s="362"/>
      <c r="E50" s="361">
        <f>'Sources and Uses Budget'!S50</f>
        <v>114375</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860000</v>
      </c>
      <c r="C52" s="362"/>
      <c r="D52" s="362"/>
      <c r="E52" s="361">
        <f>'Sources and Uses Budget'!S52</f>
        <v>860000</v>
      </c>
      <c r="F52" s="362"/>
      <c r="G52" s="362"/>
      <c r="H52" s="361">
        <f>'Sources and Uses Budget'!T52</f>
        <v>0</v>
      </c>
      <c r="I52" s="362"/>
      <c r="J52" s="362"/>
      <c r="K52" s="359"/>
    </row>
    <row r="53" spans="1:11" s="360" customFormat="1">
      <c r="A53" s="364" t="str">
        <f>'Sources and Uses Budget'!$A53</f>
        <v>Other: Security, Lender reports</v>
      </c>
      <c r="B53" s="361">
        <f>'Sources and Uses Budget'!C53</f>
        <v>340000</v>
      </c>
      <c r="C53" s="362"/>
      <c r="D53" s="362"/>
      <c r="E53" s="361">
        <f>'Sources and Uses Budget'!S53</f>
        <v>340000</v>
      </c>
      <c r="F53" s="362"/>
      <c r="G53" s="362"/>
      <c r="H53" s="361">
        <f>'Sources and Uses Budget'!T53</f>
        <v>0</v>
      </c>
      <c r="I53" s="362"/>
      <c r="J53" s="362"/>
      <c r="K53" s="359"/>
    </row>
    <row r="54" spans="1:11" s="369" customFormat="1">
      <c r="A54" s="365" t="s">
        <v>157</v>
      </c>
      <c r="B54" s="361">
        <f>'Sources and Uses Budget'!C54</f>
        <v>5603809</v>
      </c>
      <c r="C54" s="367">
        <f>SUM(C45:C53)</f>
        <v>0</v>
      </c>
      <c r="D54" s="367">
        <f>SUM(D45:D53)</f>
        <v>0</v>
      </c>
      <c r="E54" s="361">
        <f>'Sources and Uses Budget'!S54</f>
        <v>3923648</v>
      </c>
      <c r="F54" s="367">
        <f>SUM(F45:F53)</f>
        <v>0</v>
      </c>
      <c r="G54" s="367">
        <f>SUM(G45:G53)</f>
        <v>0</v>
      </c>
      <c r="H54" s="361">
        <f>'Sources and Uses Budget'!T54</f>
        <v>0</v>
      </c>
      <c r="I54" s="367">
        <f>SUM(I45:I53)</f>
        <v>0</v>
      </c>
      <c r="J54" s="367">
        <f>SUM(J45:J53)</f>
        <v>0</v>
      </c>
      <c r="K54" s="368"/>
    </row>
    <row r="55" spans="1:11" s="360" customFormat="1" ht="12">
      <c r="A55" s="357" t="s">
        <v>418</v>
      </c>
      <c r="B55" s="358"/>
      <c r="C55" s="358"/>
      <c r="D55" s="358"/>
      <c r="E55" s="358"/>
      <c r="F55" s="358"/>
      <c r="G55" s="358"/>
      <c r="H55" s="358"/>
      <c r="I55" s="358"/>
      <c r="J55" s="358"/>
      <c r="K55" s="359"/>
    </row>
    <row r="56" spans="1:11" s="360" customFormat="1">
      <c r="A56" s="364" t="s">
        <v>158</v>
      </c>
      <c r="B56" s="361">
        <f>'Sources and Uses Budget'!C56</f>
        <v>127125</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301</v>
      </c>
      <c r="B62" s="361">
        <f>'Sources and Uses Budget'!C62</f>
        <v>132125</v>
      </c>
      <c r="C62" s="361">
        <f>SUM(C56:C61)</f>
        <v>0</v>
      </c>
      <c r="D62" s="361">
        <f>SUM(D56:D61)</f>
        <v>0</v>
      </c>
      <c r="E62" s="363"/>
      <c r="F62" s="363"/>
      <c r="G62" s="363"/>
      <c r="H62" s="363"/>
      <c r="I62" s="363"/>
      <c r="J62" s="363"/>
      <c r="K62" s="359"/>
    </row>
    <row r="63" spans="1:11" s="360" customFormat="1">
      <c r="A63" s="370" t="s">
        <v>302</v>
      </c>
      <c r="B63" s="361">
        <f>'Sources and Uses Budget'!C63</f>
        <v>36602615</v>
      </c>
      <c r="C63" s="361">
        <f>SUM(C8+C11+C13+C14+C15+C26+C27+C38+C42+C43+C54+C62)</f>
        <v>0</v>
      </c>
      <c r="D63" s="361">
        <f>SUM(D8+D11+D13+D14+D15+D26+D27+D38+D42+D43+D54+D62)</f>
        <v>0</v>
      </c>
      <c r="E63" s="361">
        <f>'Sources and Uses Budget'!S63</f>
        <v>34790328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90000</v>
      </c>
      <c r="C65" s="362"/>
      <c r="D65" s="362"/>
      <c r="E65" s="361">
        <f>'Sources and Uses Budget'!S65</f>
        <v>56250</v>
      </c>
      <c r="F65" s="362"/>
      <c r="G65" s="362"/>
      <c r="H65" s="361">
        <f>'Sources and Uses Budget'!T65</f>
        <v>0</v>
      </c>
      <c r="I65" s="362"/>
      <c r="J65" s="362"/>
      <c r="K65" s="359"/>
    </row>
    <row r="66" spans="1:11" s="360" customFormat="1" ht="23">
      <c r="A66" s="283" t="s">
        <v>1642</v>
      </c>
      <c r="B66" s="361">
        <f>'Sources and Uses Budget'!C66</f>
        <v>367000</v>
      </c>
      <c r="C66" s="362"/>
      <c r="D66" s="362"/>
      <c r="E66" s="361">
        <f>'Sources and Uses Budget'!S66</f>
        <v>367000</v>
      </c>
      <c r="F66" s="362"/>
      <c r="G66" s="362"/>
      <c r="H66" s="361">
        <f>'Sources and Uses Budget'!T66</f>
        <v>0</v>
      </c>
      <c r="I66" s="362"/>
      <c r="J66" s="362"/>
      <c r="K66" s="359"/>
    </row>
    <row r="67" spans="1:11" s="360" customFormat="1" ht="23">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Sponsor legal</v>
      </c>
      <c r="B69" s="361">
        <f>'Sources and Uses Budget'!C69</f>
        <v>240000</v>
      </c>
      <c r="C69" s="362"/>
      <c r="D69" s="362"/>
      <c r="E69" s="361">
        <f>'Sources and Uses Budget'!S69</f>
        <v>79200</v>
      </c>
      <c r="F69" s="362"/>
      <c r="G69" s="362"/>
      <c r="H69" s="361">
        <f>'Sources and Uses Budget'!T69</f>
        <v>0</v>
      </c>
      <c r="I69" s="362"/>
      <c r="J69" s="362"/>
      <c r="K69" s="359"/>
    </row>
    <row r="70" spans="1:11" s="360" customFormat="1">
      <c r="A70" s="365" t="s">
        <v>602</v>
      </c>
      <c r="B70" s="361">
        <f>'Sources and Uses Budget'!C70</f>
        <v>697000</v>
      </c>
      <c r="C70" s="361">
        <f>SUM(C64:C69)</f>
        <v>0</v>
      </c>
      <c r="D70" s="361">
        <f>SUM(D64:D69)</f>
        <v>0</v>
      </c>
      <c r="E70" s="361">
        <f>'Sources and Uses Budget'!S70</f>
        <v>502450</v>
      </c>
      <c r="F70" s="367">
        <f>SUM(F65:F69)</f>
        <v>0</v>
      </c>
      <c r="G70" s="367">
        <f>SUM(G65:G69)</f>
        <v>0</v>
      </c>
      <c r="H70" s="361">
        <f>'Sources and Uses Budget'!T70</f>
        <v>0</v>
      </c>
      <c r="I70" s="367">
        <f>SUM(I65:I69)</f>
        <v>0</v>
      </c>
      <c r="J70" s="367">
        <f>SUM(J65:J69)</f>
        <v>0</v>
      </c>
      <c r="K70" s="359"/>
    </row>
    <row r="71" spans="1:11" s="360" customFormat="1" ht="12">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434986</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434986</v>
      </c>
      <c r="C77" s="361">
        <f>SUM(C72:C76)</f>
        <v>0</v>
      </c>
      <c r="D77" s="361">
        <f>SUM(D72:D76)</f>
        <v>0</v>
      </c>
      <c r="E77" s="363"/>
      <c r="F77" s="363"/>
      <c r="G77" s="363"/>
      <c r="H77" s="363"/>
      <c r="I77" s="363"/>
      <c r="J77" s="363"/>
      <c r="K77" s="359"/>
    </row>
    <row r="78" spans="1:11" s="360" customFormat="1" ht="12">
      <c r="A78" s="357" t="s">
        <v>1211</v>
      </c>
      <c r="B78" s="358"/>
      <c r="C78" s="358"/>
      <c r="D78" s="358"/>
      <c r="E78" s="358"/>
      <c r="F78" s="358"/>
      <c r="G78" s="358"/>
      <c r="H78" s="358"/>
      <c r="I78" s="358"/>
      <c r="J78" s="358"/>
      <c r="K78" s="359"/>
    </row>
    <row r="79" spans="1:11" s="360" customFormat="1">
      <c r="A79" s="364" t="s">
        <v>1213</v>
      </c>
      <c r="B79" s="361">
        <f>'Sources and Uses Budget'!C79</f>
        <v>1437084</v>
      </c>
      <c r="C79" s="362"/>
      <c r="D79" s="362"/>
      <c r="E79" s="361">
        <f>'Sources and Uses Budget'!S79</f>
        <v>1437084</v>
      </c>
      <c r="F79" s="362"/>
      <c r="G79" s="362"/>
      <c r="H79" s="361">
        <f>'Sources and Uses Budget'!T79</f>
        <v>0</v>
      </c>
      <c r="I79" s="362"/>
      <c r="J79" s="362"/>
      <c r="K79" s="359"/>
    </row>
    <row r="80" spans="1:11" s="360" customFormat="1">
      <c r="A80" s="364" t="s">
        <v>58</v>
      </c>
      <c r="B80" s="361">
        <f>'Sources and Uses Budget'!C80</f>
        <v>434802</v>
      </c>
      <c r="C80" s="362"/>
      <c r="D80" s="362"/>
      <c r="E80" s="361">
        <f>'Sources and Uses Budget'!S80</f>
        <v>434802</v>
      </c>
      <c r="F80" s="362"/>
      <c r="G80" s="362"/>
      <c r="H80" s="361">
        <f>'Sources and Uses Budget'!T80</f>
        <v>0</v>
      </c>
      <c r="I80" s="362"/>
      <c r="J80" s="362"/>
      <c r="K80" s="359"/>
    </row>
    <row r="81" spans="1:11" s="360" customFormat="1">
      <c r="A81" s="365" t="s">
        <v>1210</v>
      </c>
      <c r="B81" s="361">
        <f>'Sources and Uses Budget'!C81</f>
        <v>1871886</v>
      </c>
      <c r="C81" s="361">
        <f>SUM(C79:C80)</f>
        <v>0</v>
      </c>
      <c r="D81" s="361">
        <f>SUM(D79:D80)</f>
        <v>0</v>
      </c>
      <c r="E81" s="361">
        <f>'Sources and Uses Budget'!S81</f>
        <v>1871886</v>
      </c>
      <c r="F81" s="361">
        <f>SUM(F79:F80)</f>
        <v>0</v>
      </c>
      <c r="G81" s="361">
        <f>SUM(G79:G80)</f>
        <v>0</v>
      </c>
      <c r="H81" s="361">
        <f>'Sources and Uses Budget'!T81</f>
        <v>0</v>
      </c>
      <c r="I81" s="361">
        <f>SUM(I79:I80)</f>
        <v>0</v>
      </c>
      <c r="J81" s="361">
        <f>SUM(J79:J80)</f>
        <v>0</v>
      </c>
      <c r="K81" s="359"/>
    </row>
    <row r="82" spans="1:11" s="360" customFormat="1" ht="12">
      <c r="A82" s="357" t="s">
        <v>766</v>
      </c>
      <c r="B82" s="358"/>
      <c r="C82" s="358"/>
      <c r="D82" s="358"/>
      <c r="E82" s="358"/>
      <c r="F82" s="358"/>
      <c r="G82" s="358"/>
      <c r="H82" s="358"/>
      <c r="I82" s="358"/>
      <c r="J82" s="358"/>
      <c r="K82" s="359"/>
    </row>
    <row r="83" spans="1:11" s="360" customFormat="1" ht="13.75" customHeight="1">
      <c r="A83" s="145" t="s">
        <v>2096</v>
      </c>
      <c r="B83" s="361">
        <f>'Sources and Uses Budget'!C83</f>
        <v>87547</v>
      </c>
      <c r="C83" s="362"/>
      <c r="D83" s="362"/>
      <c r="E83" s="363"/>
      <c r="F83" s="363"/>
      <c r="G83" s="363"/>
      <c r="H83" s="363"/>
      <c r="I83" s="363"/>
      <c r="J83" s="363"/>
      <c r="K83" s="359"/>
    </row>
    <row r="84" spans="1:11" s="360" customFormat="1">
      <c r="A84" s="145" t="s">
        <v>768</v>
      </c>
      <c r="B84" s="361">
        <f>'Sources and Uses Budget'!C84</f>
        <v>30000</v>
      </c>
      <c r="C84" s="362"/>
      <c r="D84" s="362"/>
      <c r="E84" s="361">
        <f>'Sources and Uses Budget'!S84</f>
        <v>30000</v>
      </c>
      <c r="F84" s="362"/>
      <c r="G84" s="362"/>
      <c r="H84" s="361">
        <f>'Sources and Uses Budget'!T84</f>
        <v>0</v>
      </c>
      <c r="I84" s="362"/>
      <c r="J84" s="362"/>
      <c r="K84" s="359"/>
    </row>
    <row r="85" spans="1:11" s="360" customFormat="1">
      <c r="A85" s="145" t="s">
        <v>769</v>
      </c>
      <c r="B85" s="361">
        <f>'Sources and Uses Budget'!C85</f>
        <v>1970204</v>
      </c>
      <c r="C85" s="362"/>
      <c r="D85" s="362"/>
      <c r="E85" s="361">
        <f>'Sources and Uses Budget'!S85</f>
        <v>1970204</v>
      </c>
      <c r="F85" s="362"/>
      <c r="G85" s="362"/>
      <c r="H85" s="361">
        <f>'Sources and Uses Budget'!T85</f>
        <v>0</v>
      </c>
      <c r="I85" s="362"/>
      <c r="J85" s="362"/>
      <c r="K85" s="359"/>
    </row>
    <row r="86" spans="1:11" s="360" customFormat="1">
      <c r="A86" s="145" t="s">
        <v>770</v>
      </c>
      <c r="B86" s="361">
        <f>'Sources and Uses Budget'!C86</f>
        <v>1274270</v>
      </c>
      <c r="C86" s="362"/>
      <c r="D86" s="362"/>
      <c r="E86" s="361">
        <f>'Sources and Uses Budget'!S86</f>
        <v>1274270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248000</v>
      </c>
      <c r="C88" s="362"/>
      <c r="D88" s="362"/>
      <c r="E88" s="363"/>
      <c r="F88" s="363"/>
      <c r="G88" s="363"/>
      <c r="H88" s="363"/>
      <c r="I88" s="363"/>
      <c r="J88" s="363"/>
      <c r="K88" s="359"/>
    </row>
    <row r="89" spans="1:11" s="360" customFormat="1">
      <c r="A89" s="145" t="s">
        <v>773</v>
      </c>
      <c r="B89" s="361">
        <f>'Sources and Uses Budget'!C89</f>
        <v>25000</v>
      </c>
      <c r="C89" s="362"/>
      <c r="D89" s="362"/>
      <c r="E89" s="361">
        <f>'Sources and Uses Budget'!S89</f>
        <v>25000</v>
      </c>
      <c r="F89" s="362"/>
      <c r="G89" s="362"/>
      <c r="H89" s="361">
        <f>'Sources and Uses Budget'!T89</f>
        <v>0</v>
      </c>
      <c r="I89" s="362"/>
      <c r="J89" s="362"/>
      <c r="K89" s="359"/>
    </row>
    <row r="90" spans="1:11" s="360" customFormat="1">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62500</v>
      </c>
      <c r="C91" s="362"/>
      <c r="D91" s="362"/>
      <c r="E91" s="361">
        <f>'Sources and Uses Budget'!S91</f>
        <v>62500</v>
      </c>
      <c r="F91" s="362"/>
      <c r="G91" s="362"/>
      <c r="H91" s="361">
        <f>'Sources and Uses Budget'!T91</f>
        <v>0</v>
      </c>
      <c r="I91" s="362"/>
      <c r="J91" s="362"/>
      <c r="K91" s="359"/>
    </row>
    <row r="92" spans="1:11" s="360" customFormat="1">
      <c r="A92" s="508" t="s">
        <v>1212</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3717521</v>
      </c>
      <c r="C96" s="361">
        <f>SUM(C83:C95)</f>
        <v>0</v>
      </c>
      <c r="D96" s="361">
        <f>SUM(D83:D95)</f>
        <v>0</v>
      </c>
      <c r="E96" s="361">
        <f>'Sources and Uses Budget'!S96</f>
        <v>3381974</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43324008</v>
      </c>
      <c r="C97" s="361">
        <f>SUM(C63+C70+C77+C81+C96)</f>
        <v>0</v>
      </c>
      <c r="D97" s="361">
        <f>SUM(D63+D70+D77+D81+D96)</f>
        <v>0</v>
      </c>
      <c r="E97" s="361">
        <f>'Sources and Uses Budget'!S97</f>
        <v>40546638</v>
      </c>
      <c r="F97" s="367">
        <f>SUM(+F63+F70+F81+F96)</f>
        <v>0</v>
      </c>
      <c r="G97" s="367">
        <f>SUM(+G63+G70+G81+G96)</f>
        <v>0</v>
      </c>
      <c r="H97" s="361">
        <f>'Sources and Uses Budget'!T97</f>
        <v>0</v>
      </c>
      <c r="I97" s="367">
        <f>SUM(I63+I70+I81+I96)</f>
        <v>0</v>
      </c>
      <c r="J97" s="367">
        <f>SUM(J63+J70+J81+J96)</f>
        <v>0</v>
      </c>
      <c r="K97" s="359"/>
    </row>
    <row r="98" spans="1:11" s="360" customFormat="1" ht="12">
      <c r="A98" s="357" t="s">
        <v>777</v>
      </c>
      <c r="B98" s="358"/>
      <c r="C98" s="358"/>
      <c r="D98" s="358"/>
      <c r="E98" s="358"/>
      <c r="F98" s="358"/>
      <c r="G98" s="358"/>
      <c r="H98" s="358"/>
      <c r="I98" s="358"/>
      <c r="J98" s="358"/>
      <c r="K98" s="359"/>
    </row>
    <row r="99" spans="1:11" s="360" customFormat="1">
      <c r="A99" s="145" t="s">
        <v>778</v>
      </c>
      <c r="B99" s="361">
        <f>'Sources and Uses Budget'!C99</f>
        <v>6081996</v>
      </c>
      <c r="C99" s="362"/>
      <c r="D99" s="362"/>
      <c r="E99" s="361">
        <f>'Sources and Uses Budget'!S99</f>
        <v>6081996</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6081996</v>
      </c>
      <c r="C104" s="361">
        <f>SUM(C99:C103)</f>
        <v>0</v>
      </c>
      <c r="D104" s="361">
        <f>SUM(D99:D103)</f>
        <v>0</v>
      </c>
      <c r="E104" s="361">
        <f>'Sources and Uses Budget'!S104</f>
        <v>6081996</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49406004</v>
      </c>
      <c r="C105" s="367">
        <f>SUM(C97+C104)</f>
        <v>0</v>
      </c>
      <c r="D105" s="367">
        <f>SUM(D97+D104)</f>
        <v>0</v>
      </c>
      <c r="E105" s="361">
        <f>'Sources and Uses Budget'!S105</f>
        <v>46628634</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46628634</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4"/>
      <c r="E124" s="1315"/>
      <c r="F124" s="1315"/>
      <c r="G124" s="1315"/>
      <c r="H124" s="1315"/>
      <c r="I124" s="1315"/>
      <c r="J124" s="376"/>
      <c r="K124" s="359"/>
    </row>
    <row r="125" spans="1:11" s="360" customFormat="1" ht="12.5">
      <c r="A125" s="385"/>
      <c r="B125" s="384"/>
      <c r="C125" s="385"/>
      <c r="D125" s="1315"/>
      <c r="E125" s="1315"/>
      <c r="F125" s="1315"/>
      <c r="G125" s="1315"/>
      <c r="H125" s="1315"/>
      <c r="I125" s="1315"/>
      <c r="J125" s="376"/>
      <c r="K125" s="359"/>
    </row>
    <row r="126" spans="1:11" s="360" customFormat="1" ht="12.5">
      <c r="A126" s="385"/>
      <c r="B126" s="384"/>
      <c r="C126" s="385"/>
      <c r="D126" s="1315"/>
      <c r="E126" s="1315"/>
      <c r="F126" s="1315"/>
      <c r="G126" s="1315"/>
      <c r="H126" s="1315"/>
      <c r="I126" s="1315"/>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5"/>
      <c r="C139" s="1315"/>
      <c r="D139" s="356"/>
      <c r="E139" s="385"/>
      <c r="F139" s="385"/>
      <c r="G139" s="385"/>
    </row>
    <row r="140" spans="1:11" ht="12" customHeight="1">
      <c r="A140" s="1286"/>
      <c r="B140" s="1286"/>
      <c r="C140" s="1286"/>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1887" t="s">
        <v>2459</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c r="AR1" s="1888"/>
      <c r="AS1" s="1888"/>
      <c r="AT1" s="1888"/>
      <c r="AU1" s="1888"/>
      <c r="AV1" s="1888"/>
      <c r="AW1" s="1888"/>
      <c r="AX1" s="1888"/>
      <c r="AY1" s="1888"/>
      <c r="AZ1" s="1888"/>
      <c r="BA1" s="1888"/>
      <c r="BB1" s="1888"/>
      <c r="BC1" s="1888"/>
      <c r="BD1" s="1888"/>
      <c r="BE1" s="1889"/>
    </row>
    <row r="2" spans="1:65" ht="15.75" customHeight="1">
      <c r="A2" s="1890" t="s">
        <v>2458</v>
      </c>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c r="AR2" s="1891"/>
      <c r="AS2" s="1891"/>
      <c r="AT2" s="1891"/>
      <c r="AU2" s="1891"/>
      <c r="AV2" s="1891"/>
      <c r="AW2" s="1891"/>
      <c r="AX2" s="1891"/>
      <c r="AY2" s="1891"/>
      <c r="AZ2" s="1891"/>
      <c r="BA2" s="1891"/>
      <c r="BB2" s="1891"/>
      <c r="BC2" s="1891"/>
      <c r="BD2" s="1891"/>
      <c r="BE2" s="189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9" t="str">
        <f>IF(Application!H18="","",Application!H18)</f>
        <v>Mira Mesa</v>
      </c>
      <c r="M4" s="1880"/>
      <c r="N4" s="1880"/>
      <c r="O4" s="1880"/>
      <c r="P4" s="1880"/>
      <c r="Q4" s="1880"/>
      <c r="R4" s="1880"/>
      <c r="S4" s="1880"/>
      <c r="T4" s="1880"/>
      <c r="U4" s="1880"/>
      <c r="V4" s="1880"/>
      <c r="W4" s="1880"/>
      <c r="X4" s="1880"/>
      <c r="Y4" s="1880"/>
      <c r="Z4" s="1880"/>
      <c r="AA4" s="1880"/>
      <c r="AB4" s="1880"/>
      <c r="AC4" s="1881"/>
      <c r="AD4" s="1190"/>
      <c r="AE4" s="1190"/>
      <c r="AF4" s="1893" t="s">
        <v>2457</v>
      </c>
      <c r="AG4" s="1893"/>
      <c r="AH4" s="1893"/>
      <c r="AI4" s="1893"/>
      <c r="AJ4" s="1893"/>
      <c r="AK4" s="1893"/>
      <c r="AL4" s="1893"/>
      <c r="AM4" s="1893"/>
      <c r="AN4" s="1893"/>
      <c r="AO4" s="1893"/>
      <c r="AP4" s="1894"/>
      <c r="AQ4" s="1895"/>
      <c r="AR4" s="1895"/>
      <c r="AS4" s="1895"/>
      <c r="AT4" s="1895"/>
      <c r="AU4" s="189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3" t="s">
        <v>2456</v>
      </c>
      <c r="AG5" s="1893"/>
      <c r="AH5" s="1893"/>
      <c r="AI5" s="1893"/>
      <c r="AJ5" s="1893"/>
      <c r="AK5" s="1893"/>
      <c r="AL5" s="1893"/>
      <c r="AM5" s="1893"/>
      <c r="AN5" s="1893"/>
      <c r="AO5" s="1893"/>
      <c r="AP5" s="1894"/>
      <c r="AQ5" s="1895"/>
      <c r="AR5" s="1895"/>
      <c r="AS5" s="1895"/>
      <c r="AT5" s="1895"/>
      <c r="AU5" s="1895"/>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9" t="str">
        <f>IF(Application!H16="","",Application!H16)</f>
        <v>Mira Mesa CIC, LP</v>
      </c>
      <c r="M6" s="1880"/>
      <c r="N6" s="1880"/>
      <c r="O6" s="1880"/>
      <c r="P6" s="1880"/>
      <c r="Q6" s="1880"/>
      <c r="R6" s="1880"/>
      <c r="S6" s="1880"/>
      <c r="T6" s="1880"/>
      <c r="U6" s="1880"/>
      <c r="V6" s="1880"/>
      <c r="W6" s="1880"/>
      <c r="X6" s="1880"/>
      <c r="Y6" s="1880"/>
      <c r="Z6" s="1880"/>
      <c r="AA6" s="1880"/>
      <c r="AB6" s="1880"/>
      <c r="AC6" s="1881"/>
      <c r="AD6" s="1190"/>
      <c r="AE6" s="1190"/>
      <c r="AF6" s="1882" t="s">
        <v>2454</v>
      </c>
      <c r="AG6" s="1882"/>
      <c r="AH6" s="1882"/>
      <c r="AI6" s="1882"/>
      <c r="AJ6" s="1882"/>
      <c r="AK6" s="1882"/>
      <c r="AL6" s="1882"/>
      <c r="AM6" s="1882"/>
      <c r="AN6" s="1882"/>
      <c r="AO6" s="1882"/>
      <c r="AP6" s="1883"/>
      <c r="AQ6" s="1883"/>
      <c r="AR6" s="1883"/>
      <c r="AS6" s="1883"/>
      <c r="AT6" s="1883"/>
      <c r="AU6" s="1883"/>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2" t="s">
        <v>2453</v>
      </c>
      <c r="AG7" s="1882"/>
      <c r="AH7" s="1882"/>
      <c r="AI7" s="1882"/>
      <c r="AJ7" s="1882"/>
      <c r="AK7" s="1882"/>
      <c r="AL7" s="1882"/>
      <c r="AM7" s="1882"/>
      <c r="AN7" s="1882"/>
      <c r="AO7" s="1882"/>
      <c r="AP7" s="1883"/>
      <c r="AQ7" s="1883"/>
      <c r="AR7" s="1883"/>
      <c r="AS7" s="1883"/>
      <c r="AT7" s="1883"/>
      <c r="AU7" s="1883"/>
      <c r="AV7" s="1190"/>
      <c r="AW7" s="1190"/>
      <c r="AX7" s="1190"/>
      <c r="AY7" s="1190"/>
      <c r="AZ7" s="1190"/>
      <c r="BA7" s="1190"/>
      <c r="BB7" s="1190"/>
      <c r="BC7" s="1190"/>
      <c r="BD7" s="1190"/>
      <c r="BE7" s="1191"/>
    </row>
    <row r="8" spans="1:65" ht="1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4" t="str">
        <f>Application!T197</f>
        <v>No</v>
      </c>
      <c r="AC8" s="1885"/>
      <c r="AD8" s="1886"/>
      <c r="AE8" s="1190"/>
      <c r="AF8" s="1882" t="s">
        <v>2451</v>
      </c>
      <c r="AG8" s="1882"/>
      <c r="AH8" s="1882"/>
      <c r="AI8" s="1882"/>
      <c r="AJ8" s="1882"/>
      <c r="AK8" s="1882"/>
      <c r="AL8" s="1882"/>
      <c r="AM8" s="1882"/>
      <c r="AN8" s="1882"/>
      <c r="AO8" s="1882"/>
      <c r="AP8" s="1883" t="s">
        <v>2100</v>
      </c>
      <c r="AQ8" s="1883"/>
      <c r="AR8" s="1883"/>
      <c r="AS8" s="1883"/>
      <c r="AT8" s="1883"/>
      <c r="AU8" s="1883"/>
      <c r="AV8" s="1190"/>
      <c r="AW8" s="1190"/>
      <c r="AX8" s="1190"/>
      <c r="AY8" s="1190"/>
      <c r="AZ8" s="1190"/>
      <c r="BA8" s="1190"/>
      <c r="BB8" s="1190"/>
      <c r="BC8" s="1190"/>
      <c r="BD8" s="1190"/>
      <c r="BE8" s="1191"/>
      <c r="BM8" s="1187" t="s">
        <v>1985</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3" t="s">
        <v>2450</v>
      </c>
      <c r="AG9" s="1893"/>
      <c r="AH9" s="1893"/>
      <c r="AI9" s="1893"/>
      <c r="AJ9" s="1893"/>
      <c r="AK9" s="1893"/>
      <c r="AL9" s="1893"/>
      <c r="AM9" s="1893"/>
      <c r="AN9" s="1893"/>
      <c r="AO9" s="1893"/>
      <c r="AP9" s="1894"/>
      <c r="AQ9" s="1895"/>
      <c r="AR9" s="1895"/>
      <c r="AS9" s="1895"/>
      <c r="AT9" s="1895"/>
      <c r="AU9" s="1895"/>
      <c r="AV9" s="1190"/>
      <c r="AW9" s="1190"/>
      <c r="AX9" s="1190"/>
      <c r="AY9" s="1190"/>
      <c r="AZ9" s="1190"/>
      <c r="BA9" s="1190"/>
      <c r="BB9" s="1190"/>
      <c r="BC9" s="1190"/>
      <c r="BD9" s="1190"/>
      <c r="BE9" s="1191"/>
      <c r="BM9" s="1187" t="s">
        <v>2449</v>
      </c>
    </row>
    <row r="10" spans="1:65" ht="14.5">
      <c r="A10" s="1189"/>
      <c r="B10" s="1192" t="s">
        <v>2448</v>
      </c>
      <c r="C10" s="1192"/>
      <c r="D10" s="1192"/>
      <c r="E10" s="1192"/>
      <c r="F10" s="1192"/>
      <c r="G10" s="1192"/>
      <c r="H10" s="1192"/>
      <c r="I10" s="1192"/>
      <c r="J10" s="1192"/>
      <c r="K10" s="1192"/>
      <c r="L10" s="1192"/>
      <c r="M10" s="1190"/>
      <c r="N10" s="1908">
        <f>Application!AO627</f>
        <v>16950000</v>
      </c>
      <c r="O10" s="1908"/>
      <c r="P10" s="1908"/>
      <c r="Q10" s="1908"/>
      <c r="R10" s="1908"/>
      <c r="S10" s="1908"/>
      <c r="T10" s="1908"/>
      <c r="U10" s="1190"/>
      <c r="V10" s="1190"/>
      <c r="W10" s="1190"/>
      <c r="X10" s="1193"/>
      <c r="Y10" s="1193"/>
      <c r="Z10" s="1193"/>
      <c r="AA10" s="1193"/>
      <c r="AB10" s="1193"/>
      <c r="AC10" s="1193"/>
      <c r="AD10" s="1193"/>
      <c r="AE10" s="1193"/>
      <c r="AF10" s="1893" t="s">
        <v>2447</v>
      </c>
      <c r="AG10" s="1893"/>
      <c r="AH10" s="1893"/>
      <c r="AI10" s="1893"/>
      <c r="AJ10" s="1893"/>
      <c r="AK10" s="1893"/>
      <c r="AL10" s="1893"/>
      <c r="AM10" s="1893"/>
      <c r="AN10" s="1893"/>
      <c r="AO10" s="1893"/>
      <c r="AP10" s="1894"/>
      <c r="AQ10" s="1895"/>
      <c r="AR10" s="1895"/>
      <c r="AS10" s="1895"/>
      <c r="AT10" s="1895"/>
      <c r="AU10" s="1895"/>
      <c r="AV10" s="1193"/>
      <c r="AW10" s="1193"/>
      <c r="AX10" s="1190"/>
      <c r="AY10" s="1190"/>
      <c r="AZ10" s="1190"/>
      <c r="BA10" s="1190"/>
      <c r="BB10" s="1190"/>
      <c r="BC10" s="1190"/>
      <c r="BD10" s="1190"/>
      <c r="BE10" s="1191"/>
      <c r="BM10" s="1187" t="s">
        <v>2446</v>
      </c>
    </row>
    <row r="11" spans="1:65" ht="14.5">
      <c r="A11" s="1189"/>
      <c r="B11" s="1192" t="s">
        <v>2445</v>
      </c>
      <c r="C11" s="1192"/>
      <c r="D11" s="1192"/>
      <c r="E11" s="1192"/>
      <c r="F11" s="1192"/>
      <c r="G11" s="1192"/>
      <c r="H11" s="1192"/>
      <c r="I11" s="1192"/>
      <c r="J11" s="1192"/>
      <c r="K11" s="1192"/>
      <c r="L11" s="1192"/>
      <c r="M11" s="1190"/>
      <c r="N11" s="1908">
        <f>Application!AA934</f>
        <v>0</v>
      </c>
      <c r="O11" s="1908"/>
      <c r="P11" s="1908"/>
      <c r="Q11" s="1908"/>
      <c r="R11" s="1908"/>
      <c r="S11" s="1908"/>
      <c r="T11" s="1908"/>
      <c r="U11" s="1190"/>
      <c r="V11" s="1190"/>
      <c r="W11" s="1190"/>
      <c r="X11" s="1193"/>
      <c r="Y11" s="1193"/>
      <c r="Z11" s="1193"/>
      <c r="AA11" s="1193"/>
      <c r="AB11" s="1193"/>
      <c r="AC11" s="1193"/>
      <c r="AD11" s="1193"/>
      <c r="AE11" s="1193"/>
      <c r="AF11" s="1893" t="s">
        <v>2444</v>
      </c>
      <c r="AG11" s="1893"/>
      <c r="AH11" s="1893"/>
      <c r="AI11" s="1893"/>
      <c r="AJ11" s="1893"/>
      <c r="AK11" s="1893"/>
      <c r="AL11" s="1893"/>
      <c r="AM11" s="1893"/>
      <c r="AN11" s="1893"/>
      <c r="AO11" s="1893"/>
      <c r="AP11" s="1894"/>
      <c r="AQ11" s="1895"/>
      <c r="AR11" s="1895"/>
      <c r="AS11" s="1895"/>
      <c r="AT11" s="1895"/>
      <c r="AU11" s="1895"/>
      <c r="AV11" s="1193"/>
      <c r="AW11" s="1193"/>
      <c r="AX11" s="1190"/>
      <c r="AY11" s="1190"/>
      <c r="AZ11" s="1190"/>
      <c r="BA11" s="1190"/>
      <c r="BB11" s="1190"/>
      <c r="BC11" s="1190"/>
      <c r="BD11" s="1190"/>
      <c r="BE11" s="1191"/>
      <c r="BM11" s="1187" t="s">
        <v>2100</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ht="15" thickBot="1">
      <c r="A13" s="1190"/>
      <c r="B13" s="1896" t="s">
        <v>2442</v>
      </c>
      <c r="C13" s="1897"/>
      <c r="D13" s="1897"/>
      <c r="E13" s="1897"/>
      <c r="F13" s="1897"/>
      <c r="G13" s="1897"/>
      <c r="H13" s="1897"/>
      <c r="I13" s="1897"/>
      <c r="J13" s="1897"/>
      <c r="K13" s="1897"/>
      <c r="L13" s="1897"/>
      <c r="M13" s="1897"/>
      <c r="N13" s="1897"/>
      <c r="O13" s="1897"/>
      <c r="P13" s="1898"/>
      <c r="Q13" s="1899" t="s">
        <v>670</v>
      </c>
      <c r="R13" s="1900"/>
      <c r="S13" s="1900"/>
      <c r="T13" s="1901"/>
      <c r="U13" s="1193"/>
      <c r="V13" s="1190"/>
      <c r="W13" s="1190"/>
      <c r="X13" s="1190"/>
      <c r="Y13" s="1190"/>
      <c r="Z13" s="1190"/>
      <c r="AA13" s="1902" t="s">
        <v>2441</v>
      </c>
      <c r="AB13" s="1902"/>
      <c r="AC13" s="1902"/>
      <c r="AD13" s="1902"/>
      <c r="AE13" s="1902"/>
      <c r="AF13" s="1902"/>
      <c r="AG13" s="1902"/>
      <c r="AH13" s="1902"/>
      <c r="AI13" s="1902"/>
      <c r="AJ13" s="1902"/>
      <c r="AK13" s="1902"/>
      <c r="AL13" s="1902"/>
      <c r="AM13" s="1902"/>
      <c r="AN13" s="1902"/>
      <c r="AO13" s="1903">
        <f>Application!W473</f>
        <v>23</v>
      </c>
      <c r="AP13" s="1904"/>
      <c r="AQ13" s="1904"/>
      <c r="AR13" s="1904"/>
      <c r="AS13" s="1904"/>
      <c r="AT13" s="1193"/>
      <c r="AU13" s="1193"/>
      <c r="AV13" s="1193"/>
      <c r="AW13" s="1193"/>
      <c r="AX13" s="1193"/>
      <c r="AY13" s="1193"/>
      <c r="AZ13" s="1193"/>
      <c r="BA13" s="1193"/>
      <c r="BB13" s="1193"/>
      <c r="BC13" s="1193"/>
      <c r="BD13" s="1193"/>
      <c r="BE13" s="1194"/>
      <c r="BM13" s="1187" t="s">
        <v>2440</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5" t="s">
        <v>2439</v>
      </c>
      <c r="AB14" s="1905"/>
      <c r="AC14" s="1905"/>
      <c r="AD14" s="1905"/>
      <c r="AE14" s="1905"/>
      <c r="AF14" s="1905"/>
      <c r="AG14" s="1905"/>
      <c r="AH14" s="1905"/>
      <c r="AI14" s="1905"/>
      <c r="AJ14" s="1905"/>
      <c r="AK14" s="1905"/>
      <c r="AL14" s="1905"/>
      <c r="AM14" s="1905"/>
      <c r="AN14" s="1905"/>
      <c r="AO14" s="1906"/>
      <c r="AP14" s="1907"/>
      <c r="AQ14" s="1907"/>
      <c r="AR14" s="1907"/>
      <c r="AS14" s="1907"/>
      <c r="AT14" s="1193"/>
      <c r="AU14" s="1193"/>
      <c r="AV14" s="1193"/>
      <c r="AW14" s="1193"/>
      <c r="AX14" s="1193"/>
      <c r="AY14" s="1193"/>
      <c r="AZ14" s="1193"/>
      <c r="BA14" s="1193"/>
      <c r="BB14" s="1193"/>
      <c r="BC14" s="1193"/>
      <c r="BD14" s="1193"/>
      <c r="BE14" s="1194"/>
    </row>
    <row r="15" spans="1:65" ht="15" thickBot="1">
      <c r="A15" s="1190"/>
      <c r="B15" s="1909" t="s">
        <v>2438</v>
      </c>
      <c r="C15" s="1910"/>
      <c r="D15" s="1910"/>
      <c r="E15" s="1910"/>
      <c r="F15" s="1910"/>
      <c r="G15" s="1910"/>
      <c r="H15" s="1910"/>
      <c r="I15" s="1910"/>
      <c r="J15" s="1910"/>
      <c r="K15" s="1910"/>
      <c r="L15" s="1910"/>
      <c r="M15" s="1910"/>
      <c r="N15" s="1910"/>
      <c r="O15" s="1910"/>
      <c r="P15" s="1910"/>
      <c r="Q15" s="1910"/>
      <c r="R15" s="1911"/>
      <c r="S15" s="1912" t="str">
        <f>IF(Application!AB214="","",Application!AB214)</f>
        <v/>
      </c>
      <c r="T15" s="1912"/>
      <c r="U15" s="1912"/>
      <c r="V15" s="1912"/>
      <c r="W15" s="1913"/>
      <c r="X15" s="1193"/>
      <c r="Y15" s="1190"/>
      <c r="Z15" s="1190"/>
      <c r="AA15" s="1902" t="s">
        <v>2437</v>
      </c>
      <c r="AB15" s="1902"/>
      <c r="AC15" s="1902"/>
      <c r="AD15" s="1902"/>
      <c r="AE15" s="1902"/>
      <c r="AF15" s="1902"/>
      <c r="AG15" s="1902"/>
      <c r="AH15" s="1902"/>
      <c r="AI15" s="1902"/>
      <c r="AJ15" s="1902"/>
      <c r="AK15" s="1902"/>
      <c r="AL15" s="1902"/>
      <c r="AM15" s="1902"/>
      <c r="AN15" s="1902"/>
      <c r="AO15" s="1906"/>
      <c r="AP15" s="1907"/>
      <c r="AQ15" s="1907"/>
      <c r="AR15" s="1907"/>
      <c r="AS15" s="1907"/>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14" t="s">
        <v>2436</v>
      </c>
      <c r="C17" s="1915"/>
      <c r="D17" s="1915"/>
      <c r="E17" s="1915"/>
      <c r="F17" s="1915"/>
      <c r="G17" s="1915"/>
      <c r="H17" s="1915"/>
      <c r="I17" s="1915"/>
      <c r="J17" s="1915"/>
      <c r="K17" s="1915"/>
      <c r="L17" s="1915"/>
      <c r="M17" s="1915"/>
      <c r="N17" s="1915"/>
      <c r="O17" s="1915"/>
      <c r="P17" s="1915"/>
      <c r="Q17" s="1915"/>
      <c r="R17" s="1915"/>
      <c r="S17" s="1915"/>
      <c r="T17" s="1915"/>
      <c r="U17" s="1915"/>
      <c r="V17" s="1915"/>
      <c r="W17" s="1915"/>
      <c r="X17" s="1915"/>
      <c r="Y17" s="1915"/>
      <c r="Z17" s="1915"/>
      <c r="AA17" s="1915"/>
      <c r="AB17" s="1915"/>
      <c r="AC17" s="1915"/>
      <c r="AD17" s="1915"/>
      <c r="AE17" s="1915"/>
      <c r="AF17" s="1915"/>
      <c r="AG17" s="1915"/>
      <c r="AH17" s="1915"/>
      <c r="AI17" s="1915"/>
      <c r="AJ17" s="1915"/>
      <c r="AK17" s="1915"/>
      <c r="AL17" s="1915"/>
      <c r="AM17" s="1915"/>
      <c r="AN17" s="1915"/>
      <c r="AO17" s="1915"/>
      <c r="AP17" s="1915"/>
      <c r="AQ17" s="1915"/>
      <c r="AR17" s="1915"/>
      <c r="AS17" s="1915"/>
      <c r="AT17" s="1915"/>
      <c r="AU17" s="1915"/>
      <c r="AV17" s="1915"/>
      <c r="AW17" s="1915"/>
      <c r="AX17" s="1915"/>
      <c r="AY17" s="1916"/>
      <c r="AZ17" s="1190"/>
      <c r="BA17" s="1190"/>
      <c r="BB17" s="1190"/>
      <c r="BC17" s="1190"/>
      <c r="BD17" s="1190"/>
      <c r="BE17" s="1194"/>
      <c r="BF17" s="1188"/>
    </row>
    <row r="18" spans="1:58" ht="15.75" customHeight="1">
      <c r="A18" s="1190"/>
      <c r="B18" s="1917" t="s">
        <v>2435</v>
      </c>
      <c r="C18" s="1918"/>
      <c r="D18" s="1918"/>
      <c r="E18" s="1918"/>
      <c r="F18" s="1918"/>
      <c r="G18" s="1918"/>
      <c r="H18" s="1918"/>
      <c r="I18" s="1919"/>
      <c r="J18" s="1920" t="s">
        <v>1587</v>
      </c>
      <c r="K18" s="1921"/>
      <c r="L18" s="1921"/>
      <c r="M18" s="1921"/>
      <c r="N18" s="1921"/>
      <c r="O18" s="1922"/>
      <c r="P18" s="1920" t="s">
        <v>324</v>
      </c>
      <c r="Q18" s="1921"/>
      <c r="R18" s="1921"/>
      <c r="S18" s="1921"/>
      <c r="T18" s="1921"/>
      <c r="U18" s="1922"/>
      <c r="V18" s="1920" t="s">
        <v>325</v>
      </c>
      <c r="W18" s="1921"/>
      <c r="X18" s="1921"/>
      <c r="Y18" s="1921"/>
      <c r="Z18" s="1921"/>
      <c r="AA18" s="1922"/>
      <c r="AB18" s="1920" t="s">
        <v>163</v>
      </c>
      <c r="AC18" s="1921"/>
      <c r="AD18" s="1921"/>
      <c r="AE18" s="1921"/>
      <c r="AF18" s="1921"/>
      <c r="AG18" s="1922"/>
      <c r="AH18" s="1920" t="s">
        <v>164</v>
      </c>
      <c r="AI18" s="1921"/>
      <c r="AJ18" s="1921"/>
      <c r="AK18" s="1921"/>
      <c r="AL18" s="1921"/>
      <c r="AM18" s="1922"/>
      <c r="AN18" s="1920" t="s">
        <v>165</v>
      </c>
      <c r="AO18" s="1921"/>
      <c r="AP18" s="1921"/>
      <c r="AQ18" s="1921"/>
      <c r="AR18" s="1921"/>
      <c r="AS18" s="1922"/>
      <c r="AT18" s="1920" t="s">
        <v>2434</v>
      </c>
      <c r="AU18" s="1921"/>
      <c r="AV18" s="1921"/>
      <c r="AW18" s="1921"/>
      <c r="AX18" s="1921"/>
      <c r="AY18" s="1923"/>
      <c r="AZ18" s="1190"/>
      <c r="BA18" s="1190"/>
      <c r="BB18" s="1190"/>
      <c r="BC18" s="1190"/>
      <c r="BD18" s="1190"/>
      <c r="BE18" s="1194"/>
    </row>
    <row r="19" spans="1:58" ht="14.5">
      <c r="A19" s="1190"/>
      <c r="B19" s="1924">
        <v>0.3</v>
      </c>
      <c r="C19" s="1925"/>
      <c r="D19" s="1925"/>
      <c r="E19" s="1925"/>
      <c r="F19" s="1925"/>
      <c r="G19" s="1925"/>
      <c r="H19" s="1925"/>
      <c r="I19" s="1926"/>
      <c r="J19" s="1927">
        <f t="shared" ref="J19:J24" si="0">SUM(P19:AS19)</f>
        <v>11</v>
      </c>
      <c r="K19" s="1928"/>
      <c r="L19" s="1928"/>
      <c r="M19" s="1928"/>
      <c r="N19" s="1928"/>
      <c r="O19" s="1929"/>
      <c r="P19" s="1927" cm="1">
        <f t="array" ref="P19">SUMPRODUCT((Application!$B$718:$B$752 = 'CalHFA Addendum'!P$18)*(Application!$AC$718:$AC$752 = 'CalHFA Addendum'!$B19),Application!$G$718:$G$752)</f>
        <v>0</v>
      </c>
      <c r="Q19" s="1928"/>
      <c r="R19" s="1928"/>
      <c r="S19" s="1928"/>
      <c r="T19" s="1928"/>
      <c r="U19" s="1929"/>
      <c r="V19" s="1927" cm="1">
        <f t="array" ref="V19">SUMPRODUCT((Application!$B$714:$B$738 = 'CalHFA Addendum'!V$18)*(Application!$AC$714:$AC$738 = 'CalHFA Addendum'!$B19),Application!$G$714:$G$738)</f>
        <v>5</v>
      </c>
      <c r="W19" s="1928"/>
      <c r="X19" s="1928"/>
      <c r="Y19" s="1928"/>
      <c r="Z19" s="1928"/>
      <c r="AA19" s="1929"/>
      <c r="AB19" s="1927" cm="1">
        <f t="array" ref="AB19">SUMPRODUCT((Application!$B$714:$B$738 = 'CalHFA Addendum'!AB$18)*(Application!$AC$714:$AC$738 = 'CalHFA Addendum'!$B19),Application!$G$714:$G$738)</f>
        <v>3</v>
      </c>
      <c r="AC19" s="1928"/>
      <c r="AD19" s="1928"/>
      <c r="AE19" s="1928"/>
      <c r="AF19" s="1928"/>
      <c r="AG19" s="1929"/>
      <c r="AH19" s="1927" cm="1">
        <f t="array" ref="AH19">SUMPRODUCT((Application!$B$714:$B$738 = 'CalHFA Addendum'!AH$18)*(Application!$AC$714:$AC$738 = 'CalHFA Addendum'!$B19),Application!$G$714:$G$738)</f>
        <v>3</v>
      </c>
      <c r="AI19" s="1928"/>
      <c r="AJ19" s="1928"/>
      <c r="AK19" s="1928"/>
      <c r="AL19" s="1928"/>
      <c r="AM19" s="1929"/>
      <c r="AN19" s="1927" cm="1">
        <f t="array" ref="AN19">SUMPRODUCT((Application!$B$714:$B$738 = 'CalHFA Addendum'!AN$18)*(Application!$AC$714:$AC$738 = 'CalHFA Addendum'!$B19),Application!$G$714:$G$738)</f>
        <v>0</v>
      </c>
      <c r="AO19" s="1928"/>
      <c r="AP19" s="1928"/>
      <c r="AQ19" s="1928"/>
      <c r="AR19" s="1928"/>
      <c r="AS19" s="1929"/>
      <c r="AT19" s="1930">
        <f t="shared" ref="AT19:AT29" si="1">J19/$J$29</f>
        <v>0.12222222222222222</v>
      </c>
      <c r="AU19" s="1931"/>
      <c r="AV19" s="1931"/>
      <c r="AW19" s="1931"/>
      <c r="AX19" s="1931"/>
      <c r="AY19" s="1932"/>
      <c r="AZ19" s="1195"/>
      <c r="BA19" s="1190"/>
      <c r="BB19" s="1190"/>
      <c r="BC19" s="1190"/>
      <c r="BD19" s="1190"/>
      <c r="BE19" s="1194"/>
    </row>
    <row r="20" spans="1:58" ht="15" customHeight="1">
      <c r="A20" s="1190"/>
      <c r="B20" s="1924">
        <v>0.4</v>
      </c>
      <c r="C20" s="1925"/>
      <c r="D20" s="1925"/>
      <c r="E20" s="1925"/>
      <c r="F20" s="1925"/>
      <c r="G20" s="1925"/>
      <c r="H20" s="1925"/>
      <c r="I20" s="1926"/>
      <c r="J20" s="1927">
        <f t="shared" si="0"/>
        <v>0</v>
      </c>
      <c r="K20" s="1928"/>
      <c r="L20" s="1928"/>
      <c r="M20" s="1928"/>
      <c r="N20" s="1928"/>
      <c r="O20" s="1929"/>
      <c r="P20" s="1927" cm="1">
        <f t="array" ref="P20">SUMPRODUCT((Application!$B$718:$B$752 = 'CalHFA Addendum'!P$18)*(Application!$AC$718:$AC$752 = 'CalHFA Addendum'!$B20),Application!$G$718:$G$752)</f>
        <v>0</v>
      </c>
      <c r="Q20" s="1928"/>
      <c r="R20" s="1928"/>
      <c r="S20" s="1928"/>
      <c r="T20" s="1928"/>
      <c r="U20" s="1929"/>
      <c r="V20" s="1927" cm="1">
        <f t="array" ref="V20">SUMPRODUCT((Application!$B$714:$B$738 = 'CalHFA Addendum'!V$18)*(Application!$AC$714:$AC$738 = 'CalHFA Addendum'!$B20),Application!$G$714:$G$738)</f>
        <v>0</v>
      </c>
      <c r="W20" s="1928"/>
      <c r="X20" s="1928"/>
      <c r="Y20" s="1928"/>
      <c r="Z20" s="1928"/>
      <c r="AA20" s="1929"/>
      <c r="AB20" s="1927" cm="1">
        <f t="array" ref="AB20">SUMPRODUCT((Application!$B$714:$B$738 = 'CalHFA Addendum'!AB$18)*(Application!$AC$714:$AC$738 = 'CalHFA Addendum'!$B20),Application!$G$714:$G$738)</f>
        <v>0</v>
      </c>
      <c r="AC20" s="1928"/>
      <c r="AD20" s="1928"/>
      <c r="AE20" s="1928"/>
      <c r="AF20" s="1928"/>
      <c r="AG20" s="1929"/>
      <c r="AH20" s="1927" cm="1">
        <f t="array" ref="AH20">SUMPRODUCT((Application!$B$714:$B$738 = 'CalHFA Addendum'!AH$18)*(Application!$AC$714:$AC$738 = 'CalHFA Addendum'!$B20),Application!$G$714:$G$738)</f>
        <v>0</v>
      </c>
      <c r="AI20" s="1928"/>
      <c r="AJ20" s="1928"/>
      <c r="AK20" s="1928"/>
      <c r="AL20" s="1928"/>
      <c r="AM20" s="1929"/>
      <c r="AN20" s="1927" cm="1">
        <f t="array" ref="AN20">SUMPRODUCT((Application!$B$714:$B$738 = 'CalHFA Addendum'!AN$18)*(Application!$AC$714:$AC$738 = 'CalHFA Addendum'!$B20),Application!$G$714:$G$738)</f>
        <v>0</v>
      </c>
      <c r="AO20" s="1928"/>
      <c r="AP20" s="1928"/>
      <c r="AQ20" s="1928"/>
      <c r="AR20" s="1928"/>
      <c r="AS20" s="1929"/>
      <c r="AT20" s="1930">
        <f t="shared" si="1"/>
        <v>0</v>
      </c>
      <c r="AU20" s="1931"/>
      <c r="AV20" s="1931"/>
      <c r="AW20" s="1931"/>
      <c r="AX20" s="1931"/>
      <c r="AY20" s="1932"/>
      <c r="AZ20" s="1190"/>
      <c r="BA20" s="1190"/>
      <c r="BB20" s="1190"/>
      <c r="BC20" s="1190"/>
      <c r="BD20" s="1190"/>
      <c r="BE20" s="1194"/>
    </row>
    <row r="21" spans="1:58" ht="14.5">
      <c r="A21" s="1190"/>
      <c r="B21" s="1924">
        <v>0.5</v>
      </c>
      <c r="C21" s="1925"/>
      <c r="D21" s="1925"/>
      <c r="E21" s="1925"/>
      <c r="F21" s="1925"/>
      <c r="G21" s="1925"/>
      <c r="H21" s="1925"/>
      <c r="I21" s="1926"/>
      <c r="J21" s="1927">
        <f t="shared" si="0"/>
        <v>10</v>
      </c>
      <c r="K21" s="1928"/>
      <c r="L21" s="1928"/>
      <c r="M21" s="1928"/>
      <c r="N21" s="1928"/>
      <c r="O21" s="1929"/>
      <c r="P21" s="1927" cm="1">
        <f t="array" ref="P21">SUMPRODUCT((Application!$B$714:$B$738 = 'CalHFA Addendum'!P$18)*(Application!$AC$714:$AC$738 = 'CalHFA Addendum'!$B21),Application!$G$714:$G$738)</f>
        <v>0</v>
      </c>
      <c r="Q21" s="1928"/>
      <c r="R21" s="1928"/>
      <c r="S21" s="1928"/>
      <c r="T21" s="1928"/>
      <c r="U21" s="1929"/>
      <c r="V21" s="1927" cm="1">
        <f t="array" ref="V21">SUMPRODUCT((Application!$B$714:$B$738 = 'CalHFA Addendum'!V$18)*(Application!$AC$714:$AC$738 = 'CalHFA Addendum'!$B21),Application!$G$714:$G$738)</f>
        <v>4</v>
      </c>
      <c r="W21" s="1928"/>
      <c r="X21" s="1928"/>
      <c r="Y21" s="1928"/>
      <c r="Z21" s="1928"/>
      <c r="AA21" s="1929"/>
      <c r="AB21" s="1927" cm="1">
        <f t="array" ref="AB21">SUMPRODUCT((Application!$B$714:$B$738 = 'CalHFA Addendum'!AB$18)*(Application!$AC$714:$AC$738 = 'CalHFA Addendum'!$B21),Application!$G$714:$G$738)</f>
        <v>3</v>
      </c>
      <c r="AC21" s="1928"/>
      <c r="AD21" s="1928"/>
      <c r="AE21" s="1928"/>
      <c r="AF21" s="1928"/>
      <c r="AG21" s="1929"/>
      <c r="AH21" s="1927" cm="1">
        <f t="array" ref="AH21">SUMPRODUCT((Application!$B$714:$B$738 = 'CalHFA Addendum'!AH$18)*(Application!$AC$714:$AC$738 = 'CalHFA Addendum'!$B21),Application!$G$714:$G$738)</f>
        <v>3</v>
      </c>
      <c r="AI21" s="1928"/>
      <c r="AJ21" s="1928"/>
      <c r="AK21" s="1928"/>
      <c r="AL21" s="1928"/>
      <c r="AM21" s="1929"/>
      <c r="AN21" s="1927" cm="1">
        <f t="array" ref="AN21">SUMPRODUCT((Application!$B$714:$B$738 = 'CalHFA Addendum'!AN$18)*(Application!$AC$714:$AC$738 = 'CalHFA Addendum'!$B21),Application!$G$714:$G$738)</f>
        <v>0</v>
      </c>
      <c r="AO21" s="1928"/>
      <c r="AP21" s="1928"/>
      <c r="AQ21" s="1928"/>
      <c r="AR21" s="1928"/>
      <c r="AS21" s="1929"/>
      <c r="AT21" s="1930">
        <f t="shared" si="1"/>
        <v>0.1111111111111111</v>
      </c>
      <c r="AU21" s="1931"/>
      <c r="AV21" s="1931"/>
      <c r="AW21" s="1931"/>
      <c r="AX21" s="1931"/>
      <c r="AY21" s="1932"/>
      <c r="AZ21" s="1190"/>
      <c r="BA21" s="1190"/>
      <c r="BB21" s="1190"/>
      <c r="BC21" s="1190"/>
      <c r="BD21" s="1190"/>
      <c r="BE21" s="1194"/>
    </row>
    <row r="22" spans="1:58" ht="14.5">
      <c r="A22" s="1190"/>
      <c r="B22" s="1924">
        <v>0.6</v>
      </c>
      <c r="C22" s="1925"/>
      <c r="D22" s="1925"/>
      <c r="E22" s="1925"/>
      <c r="F22" s="1925"/>
      <c r="G22" s="1925"/>
      <c r="H22" s="1925"/>
      <c r="I22" s="1926"/>
      <c r="J22" s="1927">
        <f t="shared" si="0"/>
        <v>68</v>
      </c>
      <c r="K22" s="1928"/>
      <c r="L22" s="1928"/>
      <c r="M22" s="1928"/>
      <c r="N22" s="1928"/>
      <c r="O22" s="1929"/>
      <c r="P22" s="1927" cm="1">
        <f t="array" ref="P22">SUMPRODUCT((Application!$B$714:$B$738 = 'CalHFA Addendum'!P$18)*(Application!$AC$714:$AC$738 = 'CalHFA Addendum'!$B22),Application!$G$714:$G$738)</f>
        <v>0</v>
      </c>
      <c r="Q22" s="1928"/>
      <c r="R22" s="1928"/>
      <c r="S22" s="1928"/>
      <c r="T22" s="1928"/>
      <c r="U22" s="1929"/>
      <c r="V22" s="1927" cm="1">
        <f t="array" ref="V22">SUMPRODUCT((Application!$B$714:$B$738 = 'CalHFA Addendum'!V$18)*(Application!$AC$714:$AC$738 = 'CalHFA Addendum'!$B22),Application!$G$714:$G$738)</f>
        <v>34</v>
      </c>
      <c r="W22" s="1928"/>
      <c r="X22" s="1928"/>
      <c r="Y22" s="1928"/>
      <c r="Z22" s="1928"/>
      <c r="AA22" s="1929"/>
      <c r="AB22" s="1927" cm="1">
        <f t="array" ref="AB22">SUMPRODUCT((Application!$B$714:$B$738 = 'CalHFA Addendum'!AB$18)*(Application!$AC$714:$AC$738 = 'CalHFA Addendum'!$B22),Application!$G$714:$G$738)</f>
        <v>17</v>
      </c>
      <c r="AC22" s="1928"/>
      <c r="AD22" s="1928"/>
      <c r="AE22" s="1928"/>
      <c r="AF22" s="1928"/>
      <c r="AG22" s="1929"/>
      <c r="AH22" s="1927" cm="1">
        <f t="array" ref="AH22">SUMPRODUCT((Application!$B$714:$B$738 = 'CalHFA Addendum'!AH$18)*(Application!$AC$714:$AC$738 = 'CalHFA Addendum'!$B22),Application!$G$714:$G$738)</f>
        <v>17</v>
      </c>
      <c r="AI22" s="1928"/>
      <c r="AJ22" s="1928"/>
      <c r="AK22" s="1928"/>
      <c r="AL22" s="1928"/>
      <c r="AM22" s="1929"/>
      <c r="AN22" s="1927" cm="1">
        <f t="array" ref="AN22">SUMPRODUCT((Application!$B$714:$B$738 = 'CalHFA Addendum'!AN$18)*(Application!$AC$714:$AC$738 = 'CalHFA Addendum'!$B22),Application!$G$714:$G$738)</f>
        <v>0</v>
      </c>
      <c r="AO22" s="1928"/>
      <c r="AP22" s="1928"/>
      <c r="AQ22" s="1928"/>
      <c r="AR22" s="1928"/>
      <c r="AS22" s="1929"/>
      <c r="AT22" s="1930">
        <f t="shared" si="1"/>
        <v>0.75555555555555554</v>
      </c>
      <c r="AU22" s="1931"/>
      <c r="AV22" s="1931"/>
      <c r="AW22" s="1931"/>
      <c r="AX22" s="1931"/>
      <c r="AY22" s="1932"/>
      <c r="AZ22" s="1190"/>
      <c r="BA22" s="1190"/>
      <c r="BB22" s="1190"/>
      <c r="BC22" s="1190"/>
      <c r="BD22" s="1190"/>
      <c r="BE22" s="1194"/>
    </row>
    <row r="23" spans="1:58" ht="14.5">
      <c r="A23" s="1190"/>
      <c r="B23" s="1924">
        <v>0.7</v>
      </c>
      <c r="C23" s="1925"/>
      <c r="D23" s="1925"/>
      <c r="E23" s="1925"/>
      <c r="F23" s="1925"/>
      <c r="G23" s="1925"/>
      <c r="H23" s="1925"/>
      <c r="I23" s="1926"/>
      <c r="J23" s="1927">
        <f t="shared" si="0"/>
        <v>0</v>
      </c>
      <c r="K23" s="1928"/>
      <c r="L23" s="1928"/>
      <c r="M23" s="1928"/>
      <c r="N23" s="1928"/>
      <c r="O23" s="1929"/>
      <c r="P23" s="1927" cm="1">
        <f t="array" ref="P23">SUMPRODUCT((Application!$B$714:$B$738 = 'CalHFA Addendum'!P$18)*(Application!$AC$714:$AC$738 = 'CalHFA Addendum'!$B23),Application!$G$714:$G$738)</f>
        <v>0</v>
      </c>
      <c r="Q23" s="1928"/>
      <c r="R23" s="1928"/>
      <c r="S23" s="1928"/>
      <c r="T23" s="1928"/>
      <c r="U23" s="1929"/>
      <c r="V23" s="1927" cm="1">
        <f t="array" ref="V23">SUMPRODUCT((Application!$B$714:$B$738 = 'CalHFA Addendum'!V$18)*(Application!$AC$714:$AC$738 = 'CalHFA Addendum'!$B23),Application!$G$714:$G$738)</f>
        <v>0</v>
      </c>
      <c r="W23" s="1928"/>
      <c r="X23" s="1928"/>
      <c r="Y23" s="1928"/>
      <c r="Z23" s="1928"/>
      <c r="AA23" s="1929"/>
      <c r="AB23" s="1927" cm="1">
        <f t="array" ref="AB23">SUMPRODUCT((Application!$B$714:$B$738 = 'CalHFA Addendum'!AB$18)*(Application!$AC$714:$AC$738 = 'CalHFA Addendum'!$B23),Application!$G$714:$G$738)</f>
        <v>0</v>
      </c>
      <c r="AC23" s="1928"/>
      <c r="AD23" s="1928"/>
      <c r="AE23" s="1928"/>
      <c r="AF23" s="1928"/>
      <c r="AG23" s="1929"/>
      <c r="AH23" s="1927" cm="1">
        <f t="array" ref="AH23">SUMPRODUCT((Application!$B$714:$B$738 = 'CalHFA Addendum'!AH$18)*(Application!$AC$714:$AC$738 = 'CalHFA Addendum'!$B23),Application!$G$714:$G$738)</f>
        <v>0</v>
      </c>
      <c r="AI23" s="1928"/>
      <c r="AJ23" s="1928"/>
      <c r="AK23" s="1928"/>
      <c r="AL23" s="1928"/>
      <c r="AM23" s="1929"/>
      <c r="AN23" s="1927" cm="1">
        <f t="array" ref="AN23">SUMPRODUCT((Application!$B$714:$B$738 = 'CalHFA Addendum'!AN$18)*(Application!$AC$714:$AC$738 = 'CalHFA Addendum'!$B23),Application!$G$714:$G$738)</f>
        <v>0</v>
      </c>
      <c r="AO23" s="1928"/>
      <c r="AP23" s="1928"/>
      <c r="AQ23" s="1928"/>
      <c r="AR23" s="1928"/>
      <c r="AS23" s="1929"/>
      <c r="AT23" s="1930">
        <f t="shared" si="1"/>
        <v>0</v>
      </c>
      <c r="AU23" s="1931"/>
      <c r="AV23" s="1931"/>
      <c r="AW23" s="1931"/>
      <c r="AX23" s="1931"/>
      <c r="AY23" s="1932"/>
      <c r="AZ23" s="1190"/>
      <c r="BA23" s="1190"/>
      <c r="BB23" s="1190"/>
      <c r="BC23" s="1190"/>
      <c r="BD23" s="1190"/>
      <c r="BE23" s="1194"/>
    </row>
    <row r="24" spans="1:58" ht="14.5">
      <c r="A24" s="1190"/>
      <c r="B24" s="1924">
        <v>0.8</v>
      </c>
      <c r="C24" s="1925"/>
      <c r="D24" s="1925"/>
      <c r="E24" s="1925"/>
      <c r="F24" s="1925"/>
      <c r="G24" s="1925"/>
      <c r="H24" s="1925"/>
      <c r="I24" s="1926"/>
      <c r="J24" s="1927">
        <f t="shared" si="0"/>
        <v>0</v>
      </c>
      <c r="K24" s="1928"/>
      <c r="L24" s="1928"/>
      <c r="M24" s="1928"/>
      <c r="N24" s="1928"/>
      <c r="O24" s="1929"/>
      <c r="P24" s="1927" cm="1">
        <f t="array" ref="P24">SUMPRODUCT((Application!$B$714:$B$738 = 'CalHFA Addendum'!P$18)*(Application!$AC$714:$AC$738 = 'CalHFA Addendum'!$B24),Application!$G$714:$G$738)</f>
        <v>0</v>
      </c>
      <c r="Q24" s="1928"/>
      <c r="R24" s="1928"/>
      <c r="S24" s="1928"/>
      <c r="T24" s="1928"/>
      <c r="U24" s="1929"/>
      <c r="V24" s="1927" cm="1">
        <f t="array" ref="V24">SUMPRODUCT((Application!$B$714:$B$738 = 'CalHFA Addendum'!V$18)*(Application!$AC$714:$AC$738 = 'CalHFA Addendum'!$B24),Application!$G$714:$G$738)</f>
        <v>0</v>
      </c>
      <c r="W24" s="1928"/>
      <c r="X24" s="1928"/>
      <c r="Y24" s="1928"/>
      <c r="Z24" s="1928"/>
      <c r="AA24" s="1929"/>
      <c r="AB24" s="1927" cm="1">
        <f t="array" ref="AB24">SUMPRODUCT((Application!$B$714:$B$738 = 'CalHFA Addendum'!AB$18)*(Application!$AC$714:$AC$738 = 'CalHFA Addendum'!$B24),Application!$G$714:$G$738)</f>
        <v>0</v>
      </c>
      <c r="AC24" s="1928"/>
      <c r="AD24" s="1928"/>
      <c r="AE24" s="1928"/>
      <c r="AF24" s="1928"/>
      <c r="AG24" s="1929"/>
      <c r="AH24" s="1927" cm="1">
        <f t="array" ref="AH24">SUMPRODUCT((Application!$B$714:$B$738 = 'CalHFA Addendum'!AH$18)*(Application!$AC$714:$AC$738 = 'CalHFA Addendum'!$B24),Application!$G$714:$G$738)</f>
        <v>0</v>
      </c>
      <c r="AI24" s="1928"/>
      <c r="AJ24" s="1928"/>
      <c r="AK24" s="1928"/>
      <c r="AL24" s="1928"/>
      <c r="AM24" s="1929"/>
      <c r="AN24" s="1927" cm="1">
        <f t="array" ref="AN24">SUMPRODUCT((Application!$B$714:$B$738 = 'CalHFA Addendum'!AN$18)*(Application!$AC$714:$AC$738 = 'CalHFA Addendum'!$B24),Application!$G$714:$G$738)</f>
        <v>0</v>
      </c>
      <c r="AO24" s="1928"/>
      <c r="AP24" s="1928"/>
      <c r="AQ24" s="1928"/>
      <c r="AR24" s="1928"/>
      <c r="AS24" s="1929"/>
      <c r="AT24" s="1930">
        <f t="shared" si="1"/>
        <v>0</v>
      </c>
      <c r="AU24" s="1931"/>
      <c r="AV24" s="1931"/>
      <c r="AW24" s="1931"/>
      <c r="AX24" s="1931"/>
      <c r="AY24" s="1932"/>
      <c r="AZ24" s="1190"/>
      <c r="BA24" s="1190"/>
      <c r="BB24" s="1190"/>
      <c r="BC24" s="1190"/>
      <c r="BD24" s="1190"/>
      <c r="BE24" s="1194"/>
    </row>
    <row r="25" spans="1:58" ht="14.5">
      <c r="A25" s="1190"/>
      <c r="B25" s="1924">
        <v>0.9</v>
      </c>
      <c r="C25" s="1925"/>
      <c r="D25" s="1925"/>
      <c r="E25" s="1925"/>
      <c r="F25" s="1925"/>
      <c r="G25" s="1925"/>
      <c r="H25" s="1925"/>
      <c r="I25" s="1926"/>
      <c r="J25" s="1933"/>
      <c r="K25" s="1934"/>
      <c r="L25" s="1934"/>
      <c r="M25" s="1934"/>
      <c r="N25" s="1934"/>
      <c r="O25" s="1935"/>
      <c r="P25" s="1933"/>
      <c r="Q25" s="1934"/>
      <c r="R25" s="1934"/>
      <c r="S25" s="1934"/>
      <c r="T25" s="1934"/>
      <c r="U25" s="1935"/>
      <c r="V25" s="1933"/>
      <c r="W25" s="1934"/>
      <c r="X25" s="1934"/>
      <c r="Y25" s="1934"/>
      <c r="Z25" s="1934"/>
      <c r="AA25" s="1935"/>
      <c r="AB25" s="1933"/>
      <c r="AC25" s="1934"/>
      <c r="AD25" s="1934"/>
      <c r="AE25" s="1934"/>
      <c r="AF25" s="1934"/>
      <c r="AG25" s="1935"/>
      <c r="AH25" s="1933"/>
      <c r="AI25" s="1934"/>
      <c r="AJ25" s="1934"/>
      <c r="AK25" s="1934"/>
      <c r="AL25" s="1934"/>
      <c r="AM25" s="1935"/>
      <c r="AN25" s="1933"/>
      <c r="AO25" s="1934"/>
      <c r="AP25" s="1934"/>
      <c r="AQ25" s="1934"/>
      <c r="AR25" s="1934"/>
      <c r="AS25" s="1935"/>
      <c r="AT25" s="1930">
        <f t="shared" si="1"/>
        <v>0</v>
      </c>
      <c r="AU25" s="1931"/>
      <c r="AV25" s="1931"/>
      <c r="AW25" s="1931"/>
      <c r="AX25" s="1931"/>
      <c r="AY25" s="1932"/>
      <c r="AZ25" s="1190"/>
      <c r="BA25" s="1190"/>
      <c r="BB25" s="1190"/>
      <c r="BC25" s="1190"/>
      <c r="BD25" s="1190"/>
      <c r="BE25" s="1194"/>
    </row>
    <row r="26" spans="1:58" ht="14.5">
      <c r="A26" s="1190"/>
      <c r="B26" s="1924">
        <v>1</v>
      </c>
      <c r="C26" s="1925"/>
      <c r="D26" s="1925"/>
      <c r="E26" s="1925"/>
      <c r="F26" s="1925"/>
      <c r="G26" s="1925"/>
      <c r="H26" s="1925"/>
      <c r="I26" s="1926"/>
      <c r="J26" s="1933"/>
      <c r="K26" s="1934"/>
      <c r="L26" s="1934"/>
      <c r="M26" s="1934"/>
      <c r="N26" s="1934"/>
      <c r="O26" s="1935"/>
      <c r="P26" s="1933"/>
      <c r="Q26" s="1934"/>
      <c r="R26" s="1934"/>
      <c r="S26" s="1934"/>
      <c r="T26" s="1934"/>
      <c r="U26" s="1935"/>
      <c r="V26" s="1933"/>
      <c r="W26" s="1934"/>
      <c r="X26" s="1934"/>
      <c r="Y26" s="1934"/>
      <c r="Z26" s="1934"/>
      <c r="AA26" s="1935"/>
      <c r="AB26" s="1933"/>
      <c r="AC26" s="1934"/>
      <c r="AD26" s="1934"/>
      <c r="AE26" s="1934"/>
      <c r="AF26" s="1934"/>
      <c r="AG26" s="1935"/>
      <c r="AH26" s="1933"/>
      <c r="AI26" s="1934"/>
      <c r="AJ26" s="1934"/>
      <c r="AK26" s="1934"/>
      <c r="AL26" s="1934"/>
      <c r="AM26" s="1935"/>
      <c r="AN26" s="1933"/>
      <c r="AO26" s="1934"/>
      <c r="AP26" s="1934"/>
      <c r="AQ26" s="1934"/>
      <c r="AR26" s="1934"/>
      <c r="AS26" s="1935"/>
      <c r="AT26" s="1930">
        <f t="shared" si="1"/>
        <v>0</v>
      </c>
      <c r="AU26" s="1931"/>
      <c r="AV26" s="1931"/>
      <c r="AW26" s="1931"/>
      <c r="AX26" s="1931"/>
      <c r="AY26" s="1932"/>
      <c r="AZ26" s="1190"/>
      <c r="BA26" s="1190"/>
      <c r="BB26" s="1190"/>
      <c r="BC26" s="1190"/>
      <c r="BD26" s="1190"/>
      <c r="BE26" s="1194"/>
    </row>
    <row r="27" spans="1:58" ht="14.5">
      <c r="A27" s="1190"/>
      <c r="B27" s="1924">
        <v>1.2</v>
      </c>
      <c r="C27" s="1925"/>
      <c r="D27" s="1925"/>
      <c r="E27" s="1925"/>
      <c r="F27" s="1925"/>
      <c r="G27" s="1925"/>
      <c r="H27" s="1925"/>
      <c r="I27" s="1926"/>
      <c r="J27" s="1933"/>
      <c r="K27" s="1934"/>
      <c r="L27" s="1934"/>
      <c r="M27" s="1934"/>
      <c r="N27" s="1934"/>
      <c r="O27" s="1935"/>
      <c r="P27" s="1933"/>
      <c r="Q27" s="1934"/>
      <c r="R27" s="1934"/>
      <c r="S27" s="1934"/>
      <c r="T27" s="1934"/>
      <c r="U27" s="1935"/>
      <c r="V27" s="1933"/>
      <c r="W27" s="1934"/>
      <c r="X27" s="1934"/>
      <c r="Y27" s="1934"/>
      <c r="Z27" s="1934"/>
      <c r="AA27" s="1935"/>
      <c r="AB27" s="1933"/>
      <c r="AC27" s="1934"/>
      <c r="AD27" s="1934"/>
      <c r="AE27" s="1934"/>
      <c r="AF27" s="1934"/>
      <c r="AG27" s="1935"/>
      <c r="AH27" s="1933"/>
      <c r="AI27" s="1934"/>
      <c r="AJ27" s="1934"/>
      <c r="AK27" s="1934"/>
      <c r="AL27" s="1934"/>
      <c r="AM27" s="1935"/>
      <c r="AN27" s="1933"/>
      <c r="AO27" s="1934"/>
      <c r="AP27" s="1934"/>
      <c r="AQ27" s="1934"/>
      <c r="AR27" s="1934"/>
      <c r="AS27" s="1935"/>
      <c r="AT27" s="1930">
        <f t="shared" si="1"/>
        <v>0</v>
      </c>
      <c r="AU27" s="1931"/>
      <c r="AV27" s="1931"/>
      <c r="AW27" s="1931"/>
      <c r="AX27" s="1931"/>
      <c r="AY27" s="1932"/>
      <c r="AZ27" s="1190"/>
      <c r="BA27" s="1190"/>
      <c r="BB27" s="1190"/>
      <c r="BC27" s="1190"/>
      <c r="BD27" s="1190"/>
      <c r="BE27" s="1194"/>
    </row>
    <row r="28" spans="1:58" ht="15" thickBot="1">
      <c r="A28" s="1190"/>
      <c r="B28" s="1936" t="s">
        <v>2433</v>
      </c>
      <c r="C28" s="1937"/>
      <c r="D28" s="1937"/>
      <c r="E28" s="1937"/>
      <c r="F28" s="1937"/>
      <c r="G28" s="1937"/>
      <c r="H28" s="1937"/>
      <c r="I28" s="1938"/>
      <c r="J28" s="1939">
        <f>SUM(P28:AS28)</f>
        <v>1</v>
      </c>
      <c r="K28" s="1940"/>
      <c r="L28" s="1940"/>
      <c r="M28" s="1940"/>
      <c r="N28" s="1940"/>
      <c r="O28" s="1941"/>
      <c r="P28" s="1939">
        <f>_xlfn.IFNA(VLOOKUP(P$18,Application!$J$773:$S$776,6,FALSE), 0)</f>
        <v>0</v>
      </c>
      <c r="Q28" s="1940"/>
      <c r="R28" s="1940"/>
      <c r="S28" s="1940"/>
      <c r="T28" s="1940"/>
      <c r="U28" s="1941"/>
      <c r="V28" s="1939">
        <f>_xlfn.IFNA(VLOOKUP(V$18,Application!$J$773:$S$776,6,FALSE), 0)</f>
        <v>0</v>
      </c>
      <c r="W28" s="1940"/>
      <c r="X28" s="1940"/>
      <c r="Y28" s="1940"/>
      <c r="Z28" s="1940"/>
      <c r="AA28" s="1941"/>
      <c r="AB28" s="1939">
        <f>_xlfn.IFNA(VLOOKUP(AB$18,Application!$J$773:$S$776,6,FALSE), 0)</f>
        <v>1</v>
      </c>
      <c r="AC28" s="1940"/>
      <c r="AD28" s="1940"/>
      <c r="AE28" s="1940"/>
      <c r="AF28" s="1940"/>
      <c r="AG28" s="1941"/>
      <c r="AH28" s="1939">
        <f>_xlfn.IFNA(VLOOKUP(AH$18,Application!$J$773:$S$776,6,FALSE), 0)</f>
        <v>0</v>
      </c>
      <c r="AI28" s="1940"/>
      <c r="AJ28" s="1940"/>
      <c r="AK28" s="1940"/>
      <c r="AL28" s="1940"/>
      <c r="AM28" s="1941"/>
      <c r="AN28" s="1939">
        <f>_xlfn.IFNA(VLOOKUP(AN$18,Application!$J$773:$S$776,6,FALSE), 0)</f>
        <v>0</v>
      </c>
      <c r="AO28" s="1940"/>
      <c r="AP28" s="1940"/>
      <c r="AQ28" s="1940"/>
      <c r="AR28" s="1940"/>
      <c r="AS28" s="1941"/>
      <c r="AT28" s="1942">
        <f t="shared" si="1"/>
        <v>1.1111111111111112E-2</v>
      </c>
      <c r="AU28" s="1943"/>
      <c r="AV28" s="1943"/>
      <c r="AW28" s="1943"/>
      <c r="AX28" s="1943"/>
      <c r="AY28" s="1944"/>
      <c r="AZ28" s="1190"/>
      <c r="BA28" s="1190"/>
      <c r="BB28" s="1190"/>
      <c r="BC28" s="1190"/>
      <c r="BD28" s="1190"/>
      <c r="BE28" s="1194"/>
    </row>
    <row r="29" spans="1:58" ht="15" thickBot="1">
      <c r="A29" s="1190"/>
      <c r="B29" s="1973" t="s">
        <v>1587</v>
      </c>
      <c r="C29" s="1946"/>
      <c r="D29" s="1946"/>
      <c r="E29" s="1946"/>
      <c r="F29" s="1946"/>
      <c r="G29" s="1946"/>
      <c r="H29" s="1946"/>
      <c r="I29" s="1947"/>
      <c r="J29" s="1945">
        <f>SUM(J19:O28)</f>
        <v>90</v>
      </c>
      <c r="K29" s="1946"/>
      <c r="L29" s="1946"/>
      <c r="M29" s="1946"/>
      <c r="N29" s="1946"/>
      <c r="O29" s="1947"/>
      <c r="P29" s="1945">
        <f>SUM(P19:U28)</f>
        <v>0</v>
      </c>
      <c r="Q29" s="1946"/>
      <c r="R29" s="1946"/>
      <c r="S29" s="1946"/>
      <c r="T29" s="1946"/>
      <c r="U29" s="1947"/>
      <c r="V29" s="1945">
        <f>SUM(V19:AA28)</f>
        <v>43</v>
      </c>
      <c r="W29" s="1946"/>
      <c r="X29" s="1946"/>
      <c r="Y29" s="1946"/>
      <c r="Z29" s="1946"/>
      <c r="AA29" s="1947"/>
      <c r="AB29" s="1945">
        <f>SUM(AB19:AG28)</f>
        <v>24</v>
      </c>
      <c r="AC29" s="1946"/>
      <c r="AD29" s="1946"/>
      <c r="AE29" s="1946"/>
      <c r="AF29" s="1946"/>
      <c r="AG29" s="1947"/>
      <c r="AH29" s="1945">
        <f>SUM(AH19:AM28)</f>
        <v>23</v>
      </c>
      <c r="AI29" s="1946"/>
      <c r="AJ29" s="1946"/>
      <c r="AK29" s="1946"/>
      <c r="AL29" s="1946"/>
      <c r="AM29" s="1947"/>
      <c r="AN29" s="1945">
        <f>SUM(AN19:AS28)</f>
        <v>0</v>
      </c>
      <c r="AO29" s="1946"/>
      <c r="AP29" s="1946"/>
      <c r="AQ29" s="1946"/>
      <c r="AR29" s="1946"/>
      <c r="AS29" s="1947"/>
      <c r="AT29" s="1948">
        <f t="shared" si="1"/>
        <v>1</v>
      </c>
      <c r="AU29" s="1949"/>
      <c r="AV29" s="1949"/>
      <c r="AW29" s="1949"/>
      <c r="AX29" s="1949"/>
      <c r="AY29" s="1950"/>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1" t="s">
        <v>2432</v>
      </c>
      <c r="C31" s="1952"/>
      <c r="D31" s="1952"/>
      <c r="E31" s="1952"/>
      <c r="F31" s="1952"/>
      <c r="G31" s="1952"/>
      <c r="H31" s="1952"/>
      <c r="I31" s="1952"/>
      <c r="J31" s="1952"/>
      <c r="K31" s="1952"/>
      <c r="L31" s="1952"/>
      <c r="M31" s="1952"/>
      <c r="N31" s="1952"/>
      <c r="O31" s="1952"/>
      <c r="P31" s="1952"/>
      <c r="Q31" s="1952"/>
      <c r="R31" s="1952"/>
      <c r="S31" s="1952"/>
      <c r="T31" s="1952"/>
      <c r="U31" s="1952"/>
      <c r="V31" s="1952"/>
      <c r="W31" s="1952"/>
      <c r="X31" s="1952"/>
      <c r="Y31" s="1952"/>
      <c r="Z31" s="1952"/>
      <c r="AA31" s="1952"/>
      <c r="AB31" s="1952"/>
      <c r="AC31" s="1952"/>
      <c r="AD31" s="1952"/>
      <c r="AE31" s="1952"/>
      <c r="AF31" s="1952"/>
      <c r="AG31" s="1952"/>
      <c r="AH31" s="1952"/>
      <c r="AI31" s="1952"/>
      <c r="AJ31" s="1952"/>
      <c r="AK31" s="1952"/>
      <c r="AL31" s="1952"/>
      <c r="AM31" s="1952"/>
      <c r="AN31" s="1952"/>
      <c r="AO31" s="1952"/>
      <c r="AP31" s="1952"/>
      <c r="AQ31" s="1952"/>
      <c r="AR31" s="1952"/>
      <c r="AS31" s="1952"/>
      <c r="AT31" s="1952"/>
      <c r="AU31" s="1952"/>
      <c r="AV31" s="1952"/>
      <c r="AW31" s="1952"/>
      <c r="AX31" s="1952"/>
      <c r="AY31" s="1952"/>
      <c r="AZ31" s="1952"/>
      <c r="BA31" s="1952"/>
      <c r="BB31" s="1952"/>
      <c r="BC31" s="1952"/>
      <c r="BD31" s="1953"/>
      <c r="BE31" s="1194"/>
    </row>
    <row r="32" spans="1:58" ht="15" thickBot="1">
      <c r="A32" s="1190"/>
      <c r="B32" s="1954" t="s">
        <v>2431</v>
      </c>
      <c r="C32" s="1955"/>
      <c r="D32" s="1955"/>
      <c r="E32" s="1955"/>
      <c r="F32" s="1955"/>
      <c r="G32" s="1955"/>
      <c r="H32" s="1955"/>
      <c r="I32" s="1955"/>
      <c r="J32" s="1958" t="s">
        <v>2430</v>
      </c>
      <c r="K32" s="1959"/>
      <c r="L32" s="1959"/>
      <c r="M32" s="1959"/>
      <c r="N32" s="1958" t="s">
        <v>2429</v>
      </c>
      <c r="O32" s="1959"/>
      <c r="P32" s="1959"/>
      <c r="Q32" s="1961"/>
      <c r="R32" s="1963" t="s">
        <v>2428</v>
      </c>
      <c r="S32" s="1964"/>
      <c r="T32" s="1964"/>
      <c r="U32" s="1964"/>
      <c r="V32" s="1964"/>
      <c r="W32" s="1964"/>
      <c r="X32" s="1964"/>
      <c r="Y32" s="1964"/>
      <c r="Z32" s="1964"/>
      <c r="AA32" s="1964"/>
      <c r="AB32" s="1964"/>
      <c r="AC32" s="1964"/>
      <c r="AD32" s="1964"/>
      <c r="AE32" s="1964"/>
      <c r="AF32" s="1964"/>
      <c r="AG32" s="1964"/>
      <c r="AH32" s="1964"/>
      <c r="AI32" s="1964"/>
      <c r="AJ32" s="1964"/>
      <c r="AK32" s="1964"/>
      <c r="AL32" s="1964"/>
      <c r="AM32" s="1964"/>
      <c r="AN32" s="1964"/>
      <c r="AO32" s="1964"/>
      <c r="AP32" s="1964"/>
      <c r="AQ32" s="1964"/>
      <c r="AR32" s="1964"/>
      <c r="AS32" s="1964"/>
      <c r="AT32" s="1964"/>
      <c r="AU32" s="1964"/>
      <c r="AV32" s="1964"/>
      <c r="AW32" s="1964"/>
      <c r="AX32" s="1964"/>
      <c r="AY32" s="1964"/>
      <c r="AZ32" s="1964"/>
      <c r="BA32" s="1964"/>
      <c r="BB32" s="1964"/>
      <c r="BC32" s="1964"/>
      <c r="BD32" s="1965"/>
      <c r="BE32" s="1194"/>
    </row>
    <row r="33" spans="1:58" ht="15" customHeight="1">
      <c r="A33" s="1190"/>
      <c r="B33" s="1956"/>
      <c r="C33" s="1957"/>
      <c r="D33" s="1957"/>
      <c r="E33" s="1957"/>
      <c r="F33" s="1957"/>
      <c r="G33" s="1957"/>
      <c r="H33" s="1957"/>
      <c r="I33" s="1957"/>
      <c r="J33" s="1960"/>
      <c r="K33" s="1960"/>
      <c r="L33" s="1960"/>
      <c r="M33" s="1960"/>
      <c r="N33" s="1960"/>
      <c r="O33" s="1960"/>
      <c r="P33" s="1960"/>
      <c r="Q33" s="1962"/>
      <c r="R33" s="1966" t="s">
        <v>2427</v>
      </c>
      <c r="S33" s="1967"/>
      <c r="T33" s="1967"/>
      <c r="U33" s="1967"/>
      <c r="V33" s="1967"/>
      <c r="W33" s="1967"/>
      <c r="X33" s="1967"/>
      <c r="Y33" s="1967"/>
      <c r="Z33" s="1967"/>
      <c r="AA33" s="1967"/>
      <c r="AB33" s="1967"/>
      <c r="AC33" s="1967"/>
      <c r="AD33" s="1967"/>
      <c r="AE33" s="1967"/>
      <c r="AF33" s="1967"/>
      <c r="AG33" s="1967"/>
      <c r="AH33" s="1967"/>
      <c r="AI33" s="1967"/>
      <c r="AJ33" s="1967"/>
      <c r="AK33" s="1967"/>
      <c r="AL33" s="1967"/>
      <c r="AM33" s="1967"/>
      <c r="AN33" s="1967"/>
      <c r="AO33" s="1967"/>
      <c r="AP33" s="1967"/>
      <c r="AQ33" s="1967"/>
      <c r="AR33" s="1967"/>
      <c r="AS33" s="1967"/>
      <c r="AT33" s="1967"/>
      <c r="AU33" s="1967"/>
      <c r="AV33" s="1967"/>
      <c r="AW33" s="1967"/>
      <c r="AX33" s="1967"/>
      <c r="AY33" s="1967"/>
      <c r="AZ33" s="1967"/>
      <c r="BA33" s="1967"/>
      <c r="BB33" s="1967"/>
      <c r="BC33" s="1967"/>
      <c r="BD33" s="1968"/>
      <c r="BE33" s="1194"/>
    </row>
    <row r="34" spans="1:58" ht="15.75" customHeight="1" thickBot="1">
      <c r="A34" s="1190"/>
      <c r="B34" s="1956"/>
      <c r="C34" s="1957"/>
      <c r="D34" s="1957"/>
      <c r="E34" s="1957"/>
      <c r="F34" s="1957"/>
      <c r="G34" s="1957"/>
      <c r="H34" s="1957"/>
      <c r="I34" s="1957"/>
      <c r="J34" s="1960"/>
      <c r="K34" s="1960"/>
      <c r="L34" s="1960"/>
      <c r="M34" s="1960"/>
      <c r="N34" s="1960"/>
      <c r="O34" s="1960"/>
      <c r="P34" s="1960"/>
      <c r="Q34" s="1962"/>
      <c r="R34" s="1969"/>
      <c r="S34" s="1970"/>
      <c r="T34" s="1970"/>
      <c r="U34" s="1970"/>
      <c r="V34" s="1970"/>
      <c r="W34" s="1970"/>
      <c r="X34" s="1970"/>
      <c r="Y34" s="1970"/>
      <c r="Z34" s="1970"/>
      <c r="AA34" s="1970"/>
      <c r="AB34" s="1970"/>
      <c r="AC34" s="1970"/>
      <c r="AD34" s="1970"/>
      <c r="AE34" s="1970"/>
      <c r="AF34" s="1970"/>
      <c r="AG34" s="1970"/>
      <c r="AH34" s="1970"/>
      <c r="AI34" s="1970"/>
      <c r="AJ34" s="1970"/>
      <c r="AK34" s="1970"/>
      <c r="AL34" s="1970"/>
      <c r="AM34" s="1970"/>
      <c r="AN34" s="1970"/>
      <c r="AO34" s="1970"/>
      <c r="AP34" s="1970"/>
      <c r="AQ34" s="1970"/>
      <c r="AR34" s="1970"/>
      <c r="AS34" s="1970"/>
      <c r="AT34" s="1970"/>
      <c r="AU34" s="1970"/>
      <c r="AV34" s="1970"/>
      <c r="AW34" s="1970"/>
      <c r="AX34" s="1970"/>
      <c r="AY34" s="1970"/>
      <c r="AZ34" s="1970"/>
      <c r="BA34" s="1970"/>
      <c r="BB34" s="1970"/>
      <c r="BC34" s="1970"/>
      <c r="BD34" s="1971"/>
      <c r="BE34" s="1194"/>
    </row>
    <row r="35" spans="1:58" ht="15.75" customHeight="1">
      <c r="A35" s="1190"/>
      <c r="B35" s="1956"/>
      <c r="C35" s="1957"/>
      <c r="D35" s="1957"/>
      <c r="E35" s="1957"/>
      <c r="F35" s="1957"/>
      <c r="G35" s="1957"/>
      <c r="H35" s="1957"/>
      <c r="I35" s="1957"/>
      <c r="J35" s="1960"/>
      <c r="K35" s="1960"/>
      <c r="L35" s="1960"/>
      <c r="M35" s="1960"/>
      <c r="N35" s="1960"/>
      <c r="O35" s="1960"/>
      <c r="P35" s="1960"/>
      <c r="Q35" s="1960"/>
      <c r="R35" s="1972">
        <v>0.3</v>
      </c>
      <c r="S35" s="1972"/>
      <c r="T35" s="1972"/>
      <c r="U35" s="1972"/>
      <c r="V35" s="1972">
        <v>0.4</v>
      </c>
      <c r="W35" s="1972"/>
      <c r="X35" s="1972"/>
      <c r="Y35" s="1972"/>
      <c r="Z35" s="1972">
        <v>0.5</v>
      </c>
      <c r="AA35" s="1972"/>
      <c r="AB35" s="1972"/>
      <c r="AC35" s="1972"/>
      <c r="AD35" s="1972">
        <v>0.6</v>
      </c>
      <c r="AE35" s="1972"/>
      <c r="AF35" s="1972"/>
      <c r="AG35" s="1972"/>
      <c r="AH35" s="1972">
        <v>0.7</v>
      </c>
      <c r="AI35" s="1972"/>
      <c r="AJ35" s="1972"/>
      <c r="AK35" s="1972"/>
      <c r="AL35" s="1977">
        <v>0.8</v>
      </c>
      <c r="AM35" s="1978"/>
      <c r="AN35" s="1978"/>
      <c r="AO35" s="1979"/>
      <c r="AP35" s="1980">
        <v>1.2</v>
      </c>
      <c r="AQ35" s="1981"/>
      <c r="AR35" s="1982"/>
      <c r="AS35" s="1974" t="s">
        <v>2426</v>
      </c>
      <c r="AT35" s="1975"/>
      <c r="AU35" s="1975"/>
      <c r="AV35" s="1975"/>
      <c r="AW35" s="1975"/>
      <c r="AX35" s="1983"/>
      <c r="AY35" s="1974" t="s">
        <v>2425</v>
      </c>
      <c r="AZ35" s="1975"/>
      <c r="BA35" s="1975"/>
      <c r="BB35" s="1975"/>
      <c r="BC35" s="1975"/>
      <c r="BD35" s="1976"/>
      <c r="BE35" s="1194"/>
    </row>
    <row r="36" spans="1:58" ht="15.75" customHeight="1">
      <c r="A36" s="1190"/>
      <c r="B36" s="1993" t="s">
        <v>2424</v>
      </c>
      <c r="C36" s="1994"/>
      <c r="D36" s="1994"/>
      <c r="E36" s="1994"/>
      <c r="F36" s="1994"/>
      <c r="G36" s="1994"/>
      <c r="H36" s="1994"/>
      <c r="I36" s="1994"/>
      <c r="J36" s="1995" t="s">
        <v>2423</v>
      </c>
      <c r="K36" s="1995"/>
      <c r="L36" s="1995"/>
      <c r="M36" s="1995"/>
      <c r="N36" s="1995">
        <v>55</v>
      </c>
      <c r="O36" s="1995"/>
      <c r="P36" s="1995"/>
      <c r="Q36" s="1995"/>
      <c r="R36" s="1996"/>
      <c r="S36" s="1996"/>
      <c r="T36" s="1996"/>
      <c r="U36" s="1996"/>
      <c r="V36" s="1996"/>
      <c r="W36" s="1996"/>
      <c r="X36" s="1996"/>
      <c r="Y36" s="1996"/>
      <c r="Z36" s="1996"/>
      <c r="AA36" s="1996"/>
      <c r="AB36" s="1996"/>
      <c r="AC36" s="1996"/>
      <c r="AD36" s="1996"/>
      <c r="AE36" s="1996"/>
      <c r="AF36" s="1996"/>
      <c r="AG36" s="1996"/>
      <c r="AH36" s="1996"/>
      <c r="AI36" s="1996"/>
      <c r="AJ36" s="1996"/>
      <c r="AK36" s="1996"/>
      <c r="AL36" s="1984"/>
      <c r="AM36" s="1985"/>
      <c r="AN36" s="1985"/>
      <c r="AO36" s="1986"/>
      <c r="AP36" s="1984"/>
      <c r="AQ36" s="1985"/>
      <c r="AR36" s="1986"/>
      <c r="AS36" s="1987">
        <f t="shared" ref="AS36:AS47" si="2">SUM(R36:AR36)</f>
        <v>0</v>
      </c>
      <c r="AT36" s="1988"/>
      <c r="AU36" s="1988"/>
      <c r="AV36" s="1988"/>
      <c r="AW36" s="1988"/>
      <c r="AX36" s="1989"/>
      <c r="AY36" s="1990">
        <f t="shared" ref="AY36:AY47" si="3">AS36/$J$29</f>
        <v>0</v>
      </c>
      <c r="AZ36" s="1991"/>
      <c r="BA36" s="1991"/>
      <c r="BB36" s="1991"/>
      <c r="BC36" s="1991"/>
      <c r="BD36" s="1992"/>
      <c r="BE36" s="1194"/>
    </row>
    <row r="37" spans="1:58" ht="15.75" customHeight="1">
      <c r="A37" s="1190"/>
      <c r="B37" s="1993" t="s">
        <v>2422</v>
      </c>
      <c r="C37" s="1994"/>
      <c r="D37" s="1994"/>
      <c r="E37" s="1994"/>
      <c r="F37" s="1994"/>
      <c r="G37" s="1994"/>
      <c r="H37" s="1994"/>
      <c r="I37" s="1994"/>
      <c r="J37" s="1995" t="s">
        <v>2421</v>
      </c>
      <c r="K37" s="1995"/>
      <c r="L37" s="1995"/>
      <c r="M37" s="1995"/>
      <c r="N37" s="1995">
        <v>55</v>
      </c>
      <c r="O37" s="1995"/>
      <c r="P37" s="1995"/>
      <c r="Q37" s="1995"/>
      <c r="R37" s="1996"/>
      <c r="S37" s="1996"/>
      <c r="T37" s="1996"/>
      <c r="U37" s="1996"/>
      <c r="V37" s="1996"/>
      <c r="W37" s="1996"/>
      <c r="X37" s="1996"/>
      <c r="Y37" s="1996"/>
      <c r="Z37" s="1996"/>
      <c r="AA37" s="1996"/>
      <c r="AB37" s="1996"/>
      <c r="AC37" s="1996"/>
      <c r="AD37" s="1996"/>
      <c r="AE37" s="1996"/>
      <c r="AF37" s="1996"/>
      <c r="AG37" s="1996"/>
      <c r="AH37" s="1996"/>
      <c r="AI37" s="1996"/>
      <c r="AJ37" s="1996"/>
      <c r="AK37" s="1996"/>
      <c r="AL37" s="1984"/>
      <c r="AM37" s="1985"/>
      <c r="AN37" s="1985"/>
      <c r="AO37" s="1986"/>
      <c r="AP37" s="1984"/>
      <c r="AQ37" s="1985"/>
      <c r="AR37" s="1986"/>
      <c r="AS37" s="1987">
        <f t="shared" si="2"/>
        <v>0</v>
      </c>
      <c r="AT37" s="1988"/>
      <c r="AU37" s="1988"/>
      <c r="AV37" s="1988"/>
      <c r="AW37" s="1988"/>
      <c r="AX37" s="1989"/>
      <c r="AY37" s="1990">
        <f t="shared" si="3"/>
        <v>0</v>
      </c>
      <c r="AZ37" s="1991"/>
      <c r="BA37" s="1991"/>
      <c r="BB37" s="1991"/>
      <c r="BC37" s="1991"/>
      <c r="BD37" s="1992"/>
      <c r="BE37" s="1194"/>
    </row>
    <row r="38" spans="1:58" ht="15.75" customHeight="1">
      <c r="A38" s="1190"/>
      <c r="B38" s="1993" t="s">
        <v>2420</v>
      </c>
      <c r="C38" s="1994"/>
      <c r="D38" s="1994"/>
      <c r="E38" s="1994"/>
      <c r="F38" s="1994"/>
      <c r="G38" s="1994"/>
      <c r="H38" s="1994"/>
      <c r="I38" s="1994"/>
      <c r="J38" s="1995" t="s">
        <v>2419</v>
      </c>
      <c r="K38" s="1995"/>
      <c r="L38" s="1995"/>
      <c r="M38" s="1995"/>
      <c r="N38" s="1995">
        <v>55</v>
      </c>
      <c r="O38" s="1995"/>
      <c r="P38" s="1995"/>
      <c r="Q38" s="1995"/>
      <c r="R38" s="1996"/>
      <c r="S38" s="1996"/>
      <c r="T38" s="1996"/>
      <c r="U38" s="1996"/>
      <c r="V38" s="1996"/>
      <c r="W38" s="1996"/>
      <c r="X38" s="1996"/>
      <c r="Y38" s="1996"/>
      <c r="Z38" s="1996"/>
      <c r="AA38" s="1996"/>
      <c r="AB38" s="1996"/>
      <c r="AC38" s="1996"/>
      <c r="AD38" s="1996"/>
      <c r="AE38" s="1996"/>
      <c r="AF38" s="1996"/>
      <c r="AG38" s="1996"/>
      <c r="AH38" s="1996"/>
      <c r="AI38" s="1996"/>
      <c r="AJ38" s="1996"/>
      <c r="AK38" s="1996"/>
      <c r="AL38" s="1984"/>
      <c r="AM38" s="1985"/>
      <c r="AN38" s="1985"/>
      <c r="AO38" s="1986"/>
      <c r="AP38" s="1984"/>
      <c r="AQ38" s="1985"/>
      <c r="AR38" s="1986"/>
      <c r="AS38" s="1987">
        <f t="shared" si="2"/>
        <v>0</v>
      </c>
      <c r="AT38" s="1988"/>
      <c r="AU38" s="1988"/>
      <c r="AV38" s="1988"/>
      <c r="AW38" s="1988"/>
      <c r="AX38" s="1989"/>
      <c r="AY38" s="1990">
        <f t="shared" si="3"/>
        <v>0</v>
      </c>
      <c r="AZ38" s="1991"/>
      <c r="BA38" s="1991"/>
      <c r="BB38" s="1991"/>
      <c r="BC38" s="1991"/>
      <c r="BD38" s="1992"/>
      <c r="BE38" s="1194"/>
    </row>
    <row r="39" spans="1:58" ht="15.75" customHeight="1">
      <c r="A39" s="1190"/>
      <c r="B39" s="1993" t="s">
        <v>2418</v>
      </c>
      <c r="C39" s="1994"/>
      <c r="D39" s="1994"/>
      <c r="E39" s="1994"/>
      <c r="F39" s="1994"/>
      <c r="G39" s="1994"/>
      <c r="H39" s="1994"/>
      <c r="I39" s="1994"/>
      <c r="J39" s="1995"/>
      <c r="K39" s="1995"/>
      <c r="L39" s="1995"/>
      <c r="M39" s="1995"/>
      <c r="N39" s="1995"/>
      <c r="O39" s="1995"/>
      <c r="P39" s="1995"/>
      <c r="Q39" s="1995"/>
      <c r="R39" s="1996"/>
      <c r="S39" s="1996"/>
      <c r="T39" s="1996"/>
      <c r="U39" s="1996"/>
      <c r="V39" s="1996"/>
      <c r="W39" s="1996"/>
      <c r="X39" s="1996"/>
      <c r="Y39" s="1996"/>
      <c r="Z39" s="1996"/>
      <c r="AA39" s="1996"/>
      <c r="AB39" s="1996"/>
      <c r="AC39" s="1996"/>
      <c r="AD39" s="1996"/>
      <c r="AE39" s="1996"/>
      <c r="AF39" s="1996"/>
      <c r="AG39" s="1996"/>
      <c r="AH39" s="1996"/>
      <c r="AI39" s="1996"/>
      <c r="AJ39" s="1996"/>
      <c r="AK39" s="1996"/>
      <c r="AL39" s="1984"/>
      <c r="AM39" s="1985"/>
      <c r="AN39" s="1985"/>
      <c r="AO39" s="1986"/>
      <c r="AP39" s="1984"/>
      <c r="AQ39" s="1985"/>
      <c r="AR39" s="1986"/>
      <c r="AS39" s="1987">
        <f t="shared" si="2"/>
        <v>0</v>
      </c>
      <c r="AT39" s="1988"/>
      <c r="AU39" s="1988"/>
      <c r="AV39" s="1988"/>
      <c r="AW39" s="1988"/>
      <c r="AX39" s="1989"/>
      <c r="AY39" s="1990">
        <f t="shared" si="3"/>
        <v>0</v>
      </c>
      <c r="AZ39" s="1991"/>
      <c r="BA39" s="1991"/>
      <c r="BB39" s="1991"/>
      <c r="BC39" s="1991"/>
      <c r="BD39" s="1992"/>
      <c r="BE39" s="1194"/>
    </row>
    <row r="40" spans="1:58" ht="15.75" customHeight="1">
      <c r="A40" s="1190"/>
      <c r="B40" s="1993" t="s">
        <v>2418</v>
      </c>
      <c r="C40" s="1994"/>
      <c r="D40" s="1994"/>
      <c r="E40" s="1994"/>
      <c r="F40" s="1994"/>
      <c r="G40" s="1994"/>
      <c r="H40" s="1994"/>
      <c r="I40" s="1994"/>
      <c r="J40" s="1995"/>
      <c r="K40" s="1995"/>
      <c r="L40" s="1995"/>
      <c r="M40" s="1995"/>
      <c r="N40" s="1995"/>
      <c r="O40" s="1995"/>
      <c r="P40" s="1995"/>
      <c r="Q40" s="1995"/>
      <c r="R40" s="1996"/>
      <c r="S40" s="1996"/>
      <c r="T40" s="1996"/>
      <c r="U40" s="1996"/>
      <c r="V40" s="1996"/>
      <c r="W40" s="1996"/>
      <c r="X40" s="1996"/>
      <c r="Y40" s="1996"/>
      <c r="Z40" s="1996"/>
      <c r="AA40" s="1996"/>
      <c r="AB40" s="1996"/>
      <c r="AC40" s="1996"/>
      <c r="AD40" s="1996"/>
      <c r="AE40" s="1996"/>
      <c r="AF40" s="1996"/>
      <c r="AG40" s="1996"/>
      <c r="AH40" s="1996"/>
      <c r="AI40" s="1996"/>
      <c r="AJ40" s="1996"/>
      <c r="AK40" s="1996"/>
      <c r="AL40" s="1984"/>
      <c r="AM40" s="1985"/>
      <c r="AN40" s="1985"/>
      <c r="AO40" s="1986"/>
      <c r="AP40" s="1984"/>
      <c r="AQ40" s="1985"/>
      <c r="AR40" s="1986"/>
      <c r="AS40" s="1987">
        <f t="shared" si="2"/>
        <v>0</v>
      </c>
      <c r="AT40" s="1988"/>
      <c r="AU40" s="1988"/>
      <c r="AV40" s="1988"/>
      <c r="AW40" s="1988"/>
      <c r="AX40" s="1989"/>
      <c r="AY40" s="1990">
        <f t="shared" si="3"/>
        <v>0</v>
      </c>
      <c r="AZ40" s="1991"/>
      <c r="BA40" s="1991"/>
      <c r="BB40" s="1991"/>
      <c r="BC40" s="1991"/>
      <c r="BD40" s="1992"/>
      <c r="BE40" s="1194"/>
    </row>
    <row r="41" spans="1:58" ht="15.75" customHeight="1">
      <c r="A41" s="1190"/>
      <c r="B41" s="1993" t="s">
        <v>2417</v>
      </c>
      <c r="C41" s="1994"/>
      <c r="D41" s="1994"/>
      <c r="E41" s="1994"/>
      <c r="F41" s="1994"/>
      <c r="G41" s="1994"/>
      <c r="H41" s="1994"/>
      <c r="I41" s="1994"/>
      <c r="J41" s="1995"/>
      <c r="K41" s="1995"/>
      <c r="L41" s="1995"/>
      <c r="M41" s="1995"/>
      <c r="N41" s="1995"/>
      <c r="O41" s="1995"/>
      <c r="P41" s="1995"/>
      <c r="Q41" s="1995"/>
      <c r="R41" s="1996"/>
      <c r="S41" s="1996"/>
      <c r="T41" s="1996"/>
      <c r="U41" s="1996"/>
      <c r="V41" s="1996"/>
      <c r="W41" s="1996"/>
      <c r="X41" s="1996"/>
      <c r="Y41" s="1996"/>
      <c r="Z41" s="1996"/>
      <c r="AA41" s="1996"/>
      <c r="AB41" s="1996"/>
      <c r="AC41" s="1996"/>
      <c r="AD41" s="1996"/>
      <c r="AE41" s="1996"/>
      <c r="AF41" s="1996"/>
      <c r="AG41" s="1996"/>
      <c r="AH41" s="1996"/>
      <c r="AI41" s="1996"/>
      <c r="AJ41" s="1996"/>
      <c r="AK41" s="1996"/>
      <c r="AL41" s="1984"/>
      <c r="AM41" s="1985"/>
      <c r="AN41" s="1985"/>
      <c r="AO41" s="1986"/>
      <c r="AP41" s="1984"/>
      <c r="AQ41" s="1985"/>
      <c r="AR41" s="1986"/>
      <c r="AS41" s="1987">
        <f t="shared" si="2"/>
        <v>0</v>
      </c>
      <c r="AT41" s="1988"/>
      <c r="AU41" s="1988"/>
      <c r="AV41" s="1988"/>
      <c r="AW41" s="1988"/>
      <c r="AX41" s="1989"/>
      <c r="AY41" s="1990">
        <f t="shared" si="3"/>
        <v>0</v>
      </c>
      <c r="AZ41" s="1991"/>
      <c r="BA41" s="1991"/>
      <c r="BB41" s="1991"/>
      <c r="BC41" s="1991"/>
      <c r="BD41" s="1992"/>
      <c r="BE41" s="1194"/>
    </row>
    <row r="42" spans="1:58" ht="15.75" customHeight="1">
      <c r="A42" s="1190"/>
      <c r="B42" s="1993" t="s">
        <v>2417</v>
      </c>
      <c r="C42" s="1994"/>
      <c r="D42" s="1994"/>
      <c r="E42" s="1994"/>
      <c r="F42" s="1994"/>
      <c r="G42" s="1994"/>
      <c r="H42" s="1994"/>
      <c r="I42" s="1994"/>
      <c r="J42" s="1995"/>
      <c r="K42" s="1995"/>
      <c r="L42" s="1995"/>
      <c r="M42" s="1995"/>
      <c r="N42" s="1995"/>
      <c r="O42" s="1995"/>
      <c r="P42" s="1995"/>
      <c r="Q42" s="1995"/>
      <c r="R42" s="1996"/>
      <c r="S42" s="1996"/>
      <c r="T42" s="1996"/>
      <c r="U42" s="1996"/>
      <c r="V42" s="1996"/>
      <c r="W42" s="1996"/>
      <c r="X42" s="1996"/>
      <c r="Y42" s="1996"/>
      <c r="Z42" s="1996"/>
      <c r="AA42" s="1996"/>
      <c r="AB42" s="1996"/>
      <c r="AC42" s="1996"/>
      <c r="AD42" s="1996"/>
      <c r="AE42" s="1996"/>
      <c r="AF42" s="1996"/>
      <c r="AG42" s="1996"/>
      <c r="AH42" s="1996"/>
      <c r="AI42" s="1996"/>
      <c r="AJ42" s="1996"/>
      <c r="AK42" s="1996"/>
      <c r="AL42" s="1984"/>
      <c r="AM42" s="1985"/>
      <c r="AN42" s="1985"/>
      <c r="AO42" s="1986"/>
      <c r="AP42" s="1984"/>
      <c r="AQ42" s="1985"/>
      <c r="AR42" s="1986"/>
      <c r="AS42" s="1987">
        <f t="shared" si="2"/>
        <v>0</v>
      </c>
      <c r="AT42" s="1988"/>
      <c r="AU42" s="1988"/>
      <c r="AV42" s="1988"/>
      <c r="AW42" s="1988"/>
      <c r="AX42" s="1989"/>
      <c r="AY42" s="1990">
        <f t="shared" si="3"/>
        <v>0</v>
      </c>
      <c r="AZ42" s="1991"/>
      <c r="BA42" s="1991"/>
      <c r="BB42" s="1991"/>
      <c r="BC42" s="1991"/>
      <c r="BD42" s="1992"/>
      <c r="BE42" s="1194"/>
    </row>
    <row r="43" spans="1:58" ht="15.75" customHeight="1">
      <c r="A43" s="1190"/>
      <c r="B43" s="1997" t="s">
        <v>2416</v>
      </c>
      <c r="C43" s="1998"/>
      <c r="D43" s="1998"/>
      <c r="E43" s="1998"/>
      <c r="F43" s="1998"/>
      <c r="G43" s="1998"/>
      <c r="H43" s="1998"/>
      <c r="I43" s="1998"/>
      <c r="J43" s="1995"/>
      <c r="K43" s="1995"/>
      <c r="L43" s="1995"/>
      <c r="M43" s="1995"/>
      <c r="N43" s="1995"/>
      <c r="O43" s="1995"/>
      <c r="P43" s="1995"/>
      <c r="Q43" s="1995"/>
      <c r="R43" s="1996"/>
      <c r="S43" s="1996"/>
      <c r="T43" s="1996"/>
      <c r="U43" s="1996"/>
      <c r="V43" s="1996"/>
      <c r="W43" s="1996"/>
      <c r="X43" s="1996"/>
      <c r="Y43" s="1996"/>
      <c r="Z43" s="1996"/>
      <c r="AA43" s="1996"/>
      <c r="AB43" s="1996"/>
      <c r="AC43" s="1996"/>
      <c r="AD43" s="1996"/>
      <c r="AE43" s="1996"/>
      <c r="AF43" s="1996"/>
      <c r="AG43" s="1996"/>
      <c r="AH43" s="1996"/>
      <c r="AI43" s="1996"/>
      <c r="AJ43" s="1996"/>
      <c r="AK43" s="1996"/>
      <c r="AL43" s="1984"/>
      <c r="AM43" s="1985"/>
      <c r="AN43" s="1985"/>
      <c r="AO43" s="1986"/>
      <c r="AP43" s="1984"/>
      <c r="AQ43" s="1985"/>
      <c r="AR43" s="1986"/>
      <c r="AS43" s="1987">
        <f t="shared" si="2"/>
        <v>0</v>
      </c>
      <c r="AT43" s="1988"/>
      <c r="AU43" s="1988"/>
      <c r="AV43" s="1988"/>
      <c r="AW43" s="1988"/>
      <c r="AX43" s="1989"/>
      <c r="AY43" s="1990">
        <f t="shared" si="3"/>
        <v>0</v>
      </c>
      <c r="AZ43" s="1991"/>
      <c r="BA43" s="1991"/>
      <c r="BB43" s="1991"/>
      <c r="BC43" s="1991"/>
      <c r="BD43" s="1992"/>
      <c r="BE43" s="1194"/>
    </row>
    <row r="44" spans="1:58" ht="15.75" customHeight="1">
      <c r="A44" s="1190"/>
      <c r="B44" s="1997" t="s">
        <v>2415</v>
      </c>
      <c r="C44" s="1998"/>
      <c r="D44" s="1998"/>
      <c r="E44" s="1998"/>
      <c r="F44" s="1998"/>
      <c r="G44" s="1998"/>
      <c r="H44" s="1998"/>
      <c r="I44" s="1998"/>
      <c r="J44" s="1995"/>
      <c r="K44" s="1995"/>
      <c r="L44" s="1995"/>
      <c r="M44" s="1995"/>
      <c r="N44" s="1995"/>
      <c r="O44" s="1995"/>
      <c r="P44" s="1995"/>
      <c r="Q44" s="1995"/>
      <c r="R44" s="1996"/>
      <c r="S44" s="1996"/>
      <c r="T44" s="1996"/>
      <c r="U44" s="1996"/>
      <c r="V44" s="1996"/>
      <c r="W44" s="1996"/>
      <c r="X44" s="1996"/>
      <c r="Y44" s="1996"/>
      <c r="Z44" s="1996"/>
      <c r="AA44" s="1996"/>
      <c r="AB44" s="1996"/>
      <c r="AC44" s="1996"/>
      <c r="AD44" s="1996"/>
      <c r="AE44" s="1996"/>
      <c r="AF44" s="1996"/>
      <c r="AG44" s="1996"/>
      <c r="AH44" s="1996"/>
      <c r="AI44" s="1996"/>
      <c r="AJ44" s="1996"/>
      <c r="AK44" s="1996"/>
      <c r="AL44" s="1984"/>
      <c r="AM44" s="1985"/>
      <c r="AN44" s="1985"/>
      <c r="AO44" s="1986"/>
      <c r="AP44" s="1984"/>
      <c r="AQ44" s="1985"/>
      <c r="AR44" s="1986"/>
      <c r="AS44" s="1987">
        <f t="shared" si="2"/>
        <v>0</v>
      </c>
      <c r="AT44" s="1988"/>
      <c r="AU44" s="1988"/>
      <c r="AV44" s="1988"/>
      <c r="AW44" s="1988"/>
      <c r="AX44" s="1989"/>
      <c r="AY44" s="1990">
        <f t="shared" si="3"/>
        <v>0</v>
      </c>
      <c r="AZ44" s="1991"/>
      <c r="BA44" s="1991"/>
      <c r="BB44" s="1991"/>
      <c r="BC44" s="1991"/>
      <c r="BD44" s="1992"/>
      <c r="BE44" s="1194"/>
    </row>
    <row r="45" spans="1:58" ht="15.75" customHeight="1">
      <c r="A45" s="1190"/>
      <c r="B45" s="1997" t="s">
        <v>2414</v>
      </c>
      <c r="C45" s="1998"/>
      <c r="D45" s="1998"/>
      <c r="E45" s="1998"/>
      <c r="F45" s="1998"/>
      <c r="G45" s="1998"/>
      <c r="H45" s="1998"/>
      <c r="I45" s="1998"/>
      <c r="J45" s="1995"/>
      <c r="K45" s="1995"/>
      <c r="L45" s="1995"/>
      <c r="M45" s="1995"/>
      <c r="N45" s="1995"/>
      <c r="O45" s="1995"/>
      <c r="P45" s="1995"/>
      <c r="Q45" s="1995"/>
      <c r="R45" s="1996"/>
      <c r="S45" s="1996"/>
      <c r="T45" s="1996"/>
      <c r="U45" s="1996"/>
      <c r="V45" s="1996"/>
      <c r="W45" s="1996"/>
      <c r="X45" s="1996"/>
      <c r="Y45" s="1996"/>
      <c r="Z45" s="1996"/>
      <c r="AA45" s="1996"/>
      <c r="AB45" s="1996"/>
      <c r="AC45" s="1996"/>
      <c r="AD45" s="1996"/>
      <c r="AE45" s="1996"/>
      <c r="AF45" s="1996"/>
      <c r="AG45" s="1996"/>
      <c r="AH45" s="1996"/>
      <c r="AI45" s="1996"/>
      <c r="AJ45" s="1996"/>
      <c r="AK45" s="1996"/>
      <c r="AL45" s="1984"/>
      <c r="AM45" s="1985"/>
      <c r="AN45" s="1985"/>
      <c r="AO45" s="1986"/>
      <c r="AP45" s="1984"/>
      <c r="AQ45" s="1985"/>
      <c r="AR45" s="1986"/>
      <c r="AS45" s="1987">
        <f t="shared" si="2"/>
        <v>0</v>
      </c>
      <c r="AT45" s="1988"/>
      <c r="AU45" s="1988"/>
      <c r="AV45" s="1988"/>
      <c r="AW45" s="1988"/>
      <c r="AX45" s="1989"/>
      <c r="AY45" s="1990">
        <f t="shared" si="3"/>
        <v>0</v>
      </c>
      <c r="AZ45" s="1991"/>
      <c r="BA45" s="1991"/>
      <c r="BB45" s="1991"/>
      <c r="BC45" s="1991"/>
      <c r="BD45" s="1992"/>
      <c r="BE45" s="1194"/>
    </row>
    <row r="46" spans="1:58" ht="15.75" customHeight="1">
      <c r="A46" s="1190"/>
      <c r="B46" s="1997" t="s">
        <v>2338</v>
      </c>
      <c r="C46" s="1998"/>
      <c r="D46" s="1998"/>
      <c r="E46" s="1998"/>
      <c r="F46" s="1998"/>
      <c r="G46" s="1998"/>
      <c r="H46" s="1998"/>
      <c r="I46" s="1998"/>
      <c r="J46" s="1995"/>
      <c r="K46" s="1995"/>
      <c r="L46" s="1995"/>
      <c r="M46" s="1995"/>
      <c r="N46" s="1995">
        <v>99</v>
      </c>
      <c r="O46" s="1995"/>
      <c r="P46" s="1995"/>
      <c r="Q46" s="1995"/>
      <c r="R46" s="1996"/>
      <c r="S46" s="1996"/>
      <c r="T46" s="1996"/>
      <c r="U46" s="1996"/>
      <c r="V46" s="1996"/>
      <c r="W46" s="1996"/>
      <c r="X46" s="1996"/>
      <c r="Y46" s="1996"/>
      <c r="Z46" s="1996"/>
      <c r="AA46" s="1996"/>
      <c r="AB46" s="1996"/>
      <c r="AC46" s="1996"/>
      <c r="AD46" s="1996"/>
      <c r="AE46" s="1996"/>
      <c r="AF46" s="1996"/>
      <c r="AG46" s="1996"/>
      <c r="AH46" s="1996"/>
      <c r="AI46" s="1996"/>
      <c r="AJ46" s="1996"/>
      <c r="AK46" s="1996"/>
      <c r="AL46" s="1984"/>
      <c r="AM46" s="1985"/>
      <c r="AN46" s="1985"/>
      <c r="AO46" s="1986"/>
      <c r="AP46" s="1984"/>
      <c r="AQ46" s="1985"/>
      <c r="AR46" s="1986"/>
      <c r="AS46" s="1987">
        <f t="shared" si="2"/>
        <v>0</v>
      </c>
      <c r="AT46" s="1988"/>
      <c r="AU46" s="1988"/>
      <c r="AV46" s="1988"/>
      <c r="AW46" s="1988"/>
      <c r="AX46" s="1989"/>
      <c r="AY46" s="1990">
        <f t="shared" si="3"/>
        <v>0</v>
      </c>
      <c r="AZ46" s="1991"/>
      <c r="BA46" s="1991"/>
      <c r="BB46" s="1991"/>
      <c r="BC46" s="1991"/>
      <c r="BD46" s="1992"/>
      <c r="BE46" s="1194"/>
    </row>
    <row r="47" spans="1:58" ht="15.75" customHeight="1" thickBot="1">
      <c r="A47" s="1190"/>
      <c r="B47" s="1999" t="s">
        <v>300</v>
      </c>
      <c r="C47" s="2000"/>
      <c r="D47" s="2000"/>
      <c r="E47" s="2000"/>
      <c r="F47" s="2000"/>
      <c r="G47" s="2000"/>
      <c r="H47" s="2000"/>
      <c r="I47" s="2000"/>
      <c r="J47" s="2001"/>
      <c r="K47" s="2001"/>
      <c r="L47" s="2001"/>
      <c r="M47" s="2001"/>
      <c r="N47" s="2001"/>
      <c r="O47" s="2001"/>
      <c r="P47" s="2001"/>
      <c r="Q47" s="2001"/>
      <c r="R47" s="2002"/>
      <c r="S47" s="2002"/>
      <c r="T47" s="2002"/>
      <c r="U47" s="2002"/>
      <c r="V47" s="2002"/>
      <c r="W47" s="2002"/>
      <c r="X47" s="2002"/>
      <c r="Y47" s="2002"/>
      <c r="Z47" s="2002"/>
      <c r="AA47" s="2002"/>
      <c r="AB47" s="2002"/>
      <c r="AC47" s="2002"/>
      <c r="AD47" s="2002"/>
      <c r="AE47" s="2002"/>
      <c r="AF47" s="2002"/>
      <c r="AG47" s="2002"/>
      <c r="AH47" s="2002"/>
      <c r="AI47" s="2002"/>
      <c r="AJ47" s="2002"/>
      <c r="AK47" s="2002"/>
      <c r="AL47" s="2006"/>
      <c r="AM47" s="2007"/>
      <c r="AN47" s="2007"/>
      <c r="AO47" s="2008"/>
      <c r="AP47" s="2006"/>
      <c r="AQ47" s="2007"/>
      <c r="AR47" s="2008"/>
      <c r="AS47" s="1987">
        <f t="shared" si="2"/>
        <v>0</v>
      </c>
      <c r="AT47" s="1988"/>
      <c r="AU47" s="1988"/>
      <c r="AV47" s="1988"/>
      <c r="AW47" s="1988"/>
      <c r="AX47" s="1989"/>
      <c r="AY47" s="2003">
        <f t="shared" si="3"/>
        <v>0</v>
      </c>
      <c r="AZ47" s="2004"/>
      <c r="BA47" s="2004"/>
      <c r="BB47" s="2004"/>
      <c r="BC47" s="2004"/>
      <c r="BD47" s="2005"/>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9" t="s">
        <v>2411</v>
      </c>
      <c r="C50" s="2010"/>
      <c r="D50" s="2010"/>
      <c r="E50" s="2010"/>
      <c r="F50" s="2010"/>
      <c r="G50" s="2010"/>
      <c r="H50" s="2010"/>
      <c r="I50" s="2010"/>
      <c r="J50" s="2010"/>
      <c r="K50" s="2010"/>
      <c r="L50" s="2010"/>
      <c r="M50" s="2010"/>
      <c r="N50" s="2010"/>
      <c r="O50" s="2010"/>
      <c r="P50" s="2010"/>
      <c r="Q50" s="2010"/>
      <c r="R50" s="2010"/>
      <c r="S50" s="2010"/>
      <c r="T50" s="2010"/>
      <c r="U50" s="2010"/>
      <c r="V50" s="2010"/>
      <c r="W50" s="2010"/>
      <c r="X50" s="2010"/>
      <c r="Y50" s="2010"/>
      <c r="Z50" s="2010"/>
      <c r="AA50" s="2010"/>
      <c r="AB50" s="2010"/>
      <c r="AC50" s="2010"/>
      <c r="AD50" s="2010"/>
      <c r="AE50" s="2010"/>
      <c r="AF50" s="2010"/>
      <c r="AG50" s="2010"/>
      <c r="AH50" s="2010"/>
      <c r="AI50" s="2010"/>
      <c r="AJ50" s="2010"/>
      <c r="AK50" s="2010"/>
      <c r="AL50" s="2010"/>
      <c r="AM50" s="2010"/>
      <c r="AN50" s="2010"/>
      <c r="AO50" s="201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2" t="s">
        <v>2404</v>
      </c>
      <c r="C51" s="2013"/>
      <c r="D51" s="2013"/>
      <c r="E51" s="2013"/>
      <c r="F51" s="2013"/>
      <c r="G51" s="2013"/>
      <c r="H51" s="2013"/>
      <c r="I51" s="2013"/>
      <c r="J51" s="2013" t="s">
        <v>2410</v>
      </c>
      <c r="K51" s="2013"/>
      <c r="L51" s="2013"/>
      <c r="M51" s="2013"/>
      <c r="N51" s="2013"/>
      <c r="O51" s="2013"/>
      <c r="P51" s="2013"/>
      <c r="Q51" s="2013"/>
      <c r="R51" s="2014" t="s">
        <v>2409</v>
      </c>
      <c r="S51" s="2014"/>
      <c r="T51" s="2014"/>
      <c r="U51" s="2014"/>
      <c r="V51" s="2014"/>
      <c r="W51" s="2014"/>
      <c r="X51" s="2014"/>
      <c r="Y51" s="2014"/>
      <c r="Z51" s="2014" t="s">
        <v>2408</v>
      </c>
      <c r="AA51" s="2014"/>
      <c r="AB51" s="2014"/>
      <c r="AC51" s="2014"/>
      <c r="AD51" s="2014"/>
      <c r="AE51" s="2014"/>
      <c r="AF51" s="2014"/>
      <c r="AG51" s="2014"/>
      <c r="AH51" s="2014" t="s">
        <v>2407</v>
      </c>
      <c r="AI51" s="2014"/>
      <c r="AJ51" s="2014"/>
      <c r="AK51" s="2014"/>
      <c r="AL51" s="2014"/>
      <c r="AM51" s="2014"/>
      <c r="AN51" s="2014"/>
      <c r="AO51" s="201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7" t="s">
        <v>2406</v>
      </c>
      <c r="C52" s="1998"/>
      <c r="D52" s="1998"/>
      <c r="E52" s="1998"/>
      <c r="F52" s="1998"/>
      <c r="G52" s="1998"/>
      <c r="H52" s="1998"/>
      <c r="I52" s="1998"/>
      <c r="J52" s="2016">
        <v>0</v>
      </c>
      <c r="K52" s="2016"/>
      <c r="L52" s="2016"/>
      <c r="M52" s="2016"/>
      <c r="N52" s="2016"/>
      <c r="O52" s="2016"/>
      <c r="P52" s="2016"/>
      <c r="Q52" s="2016"/>
      <c r="R52" s="2017">
        <v>0</v>
      </c>
      <c r="S52" s="2017"/>
      <c r="T52" s="2017"/>
      <c r="U52" s="2017"/>
      <c r="V52" s="2017"/>
      <c r="W52" s="2017"/>
      <c r="X52" s="2017"/>
      <c r="Y52" s="2017"/>
      <c r="Z52" s="2018">
        <v>0</v>
      </c>
      <c r="AA52" s="2018"/>
      <c r="AB52" s="2018"/>
      <c r="AC52" s="2018"/>
      <c r="AD52" s="2018"/>
      <c r="AE52" s="2018"/>
      <c r="AF52" s="2018"/>
      <c r="AG52" s="2018"/>
      <c r="AH52" s="2019"/>
      <c r="AI52" s="2019"/>
      <c r="AJ52" s="2019"/>
      <c r="AK52" s="2019"/>
      <c r="AL52" s="2019"/>
      <c r="AM52" s="2019"/>
      <c r="AN52" s="2019"/>
      <c r="AO52" s="202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7" t="s">
        <v>2405</v>
      </c>
      <c r="C53" s="1998"/>
      <c r="D53" s="1998"/>
      <c r="E53" s="1998"/>
      <c r="F53" s="1998"/>
      <c r="G53" s="1998"/>
      <c r="H53" s="1998"/>
      <c r="I53" s="1998"/>
      <c r="J53" s="2016">
        <v>0</v>
      </c>
      <c r="K53" s="2016"/>
      <c r="L53" s="2016"/>
      <c r="M53" s="2016"/>
      <c r="N53" s="2016"/>
      <c r="O53" s="2016"/>
      <c r="P53" s="2016"/>
      <c r="Q53" s="2016"/>
      <c r="R53" s="2017">
        <v>0</v>
      </c>
      <c r="S53" s="2017"/>
      <c r="T53" s="2017"/>
      <c r="U53" s="2017"/>
      <c r="V53" s="2017"/>
      <c r="W53" s="2017"/>
      <c r="X53" s="2017"/>
      <c r="Y53" s="2017"/>
      <c r="Z53" s="2018">
        <v>0</v>
      </c>
      <c r="AA53" s="2018"/>
      <c r="AB53" s="2018"/>
      <c r="AC53" s="2018"/>
      <c r="AD53" s="2018"/>
      <c r="AE53" s="2018"/>
      <c r="AF53" s="2018"/>
      <c r="AG53" s="2018"/>
      <c r="AH53" s="2019"/>
      <c r="AI53" s="2019"/>
      <c r="AJ53" s="2019"/>
      <c r="AK53" s="2019"/>
      <c r="AL53" s="2019"/>
      <c r="AM53" s="2019"/>
      <c r="AN53" s="2019"/>
      <c r="AO53" s="202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7"/>
      <c r="C54" s="1998"/>
      <c r="D54" s="1998"/>
      <c r="E54" s="1998"/>
      <c r="F54" s="1998"/>
      <c r="G54" s="1998"/>
      <c r="H54" s="1998"/>
      <c r="I54" s="1998"/>
      <c r="J54" s="2016"/>
      <c r="K54" s="2016"/>
      <c r="L54" s="2016"/>
      <c r="M54" s="2016"/>
      <c r="N54" s="2016"/>
      <c r="O54" s="2016"/>
      <c r="P54" s="2016"/>
      <c r="Q54" s="2016"/>
      <c r="R54" s="2017"/>
      <c r="S54" s="2017"/>
      <c r="T54" s="2017"/>
      <c r="U54" s="2017"/>
      <c r="V54" s="2017"/>
      <c r="W54" s="2017"/>
      <c r="X54" s="2017"/>
      <c r="Y54" s="2017"/>
      <c r="Z54" s="2018"/>
      <c r="AA54" s="2018"/>
      <c r="AB54" s="2018"/>
      <c r="AC54" s="2018"/>
      <c r="AD54" s="2018"/>
      <c r="AE54" s="2018"/>
      <c r="AF54" s="2018"/>
      <c r="AG54" s="2018"/>
      <c r="AH54" s="2019"/>
      <c r="AI54" s="2019"/>
      <c r="AJ54" s="2019"/>
      <c r="AK54" s="2019"/>
      <c r="AL54" s="2019"/>
      <c r="AM54" s="2019"/>
      <c r="AN54" s="2019"/>
      <c r="AO54" s="202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7"/>
      <c r="C55" s="1998"/>
      <c r="D55" s="1998"/>
      <c r="E55" s="1998"/>
      <c r="F55" s="1998"/>
      <c r="G55" s="1998"/>
      <c r="H55" s="1998"/>
      <c r="I55" s="1998"/>
      <c r="J55" s="2016"/>
      <c r="K55" s="2016"/>
      <c r="L55" s="2016"/>
      <c r="M55" s="2016"/>
      <c r="N55" s="2016"/>
      <c r="O55" s="2016"/>
      <c r="P55" s="2016"/>
      <c r="Q55" s="2016"/>
      <c r="R55" s="2017"/>
      <c r="S55" s="2017"/>
      <c r="T55" s="2017"/>
      <c r="U55" s="2017"/>
      <c r="V55" s="2017"/>
      <c r="W55" s="2017"/>
      <c r="X55" s="2017"/>
      <c r="Y55" s="2017"/>
      <c r="Z55" s="2018"/>
      <c r="AA55" s="2018"/>
      <c r="AB55" s="2018"/>
      <c r="AC55" s="2018"/>
      <c r="AD55" s="2018"/>
      <c r="AE55" s="2018"/>
      <c r="AF55" s="2018"/>
      <c r="AG55" s="2018"/>
      <c r="AH55" s="2019"/>
      <c r="AI55" s="2019"/>
      <c r="AJ55" s="2019"/>
      <c r="AK55" s="2019"/>
      <c r="AL55" s="2019"/>
      <c r="AM55" s="2019"/>
      <c r="AN55" s="2019"/>
      <c r="AO55" s="2020"/>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7"/>
      <c r="C56" s="1998"/>
      <c r="D56" s="1998"/>
      <c r="E56" s="1998"/>
      <c r="F56" s="1998"/>
      <c r="G56" s="1998"/>
      <c r="H56" s="1998"/>
      <c r="I56" s="1998"/>
      <c r="J56" s="2016"/>
      <c r="K56" s="2016"/>
      <c r="L56" s="2016"/>
      <c r="M56" s="2016"/>
      <c r="N56" s="2016"/>
      <c r="O56" s="2016"/>
      <c r="P56" s="2016"/>
      <c r="Q56" s="2016"/>
      <c r="R56" s="2017"/>
      <c r="S56" s="2017"/>
      <c r="T56" s="2017"/>
      <c r="U56" s="2017"/>
      <c r="V56" s="2017"/>
      <c r="W56" s="2017"/>
      <c r="X56" s="2017"/>
      <c r="Y56" s="2017"/>
      <c r="Z56" s="2018"/>
      <c r="AA56" s="2018"/>
      <c r="AB56" s="2018"/>
      <c r="AC56" s="2018"/>
      <c r="AD56" s="2018"/>
      <c r="AE56" s="2018"/>
      <c r="AF56" s="2018"/>
      <c r="AG56" s="2018"/>
      <c r="AH56" s="2019"/>
      <c r="AI56" s="2019"/>
      <c r="AJ56" s="2019"/>
      <c r="AK56" s="2019"/>
      <c r="AL56" s="2019"/>
      <c r="AM56" s="2019"/>
      <c r="AN56" s="2019"/>
      <c r="AO56" s="202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0" t="s">
        <v>1587</v>
      </c>
      <c r="C57" s="2031"/>
      <c r="D57" s="2031"/>
      <c r="E57" s="2031"/>
      <c r="F57" s="2031"/>
      <c r="G57" s="2031"/>
      <c r="H57" s="2031"/>
      <c r="I57" s="2031"/>
      <c r="J57" s="2031"/>
      <c r="K57" s="2031"/>
      <c r="L57" s="2031"/>
      <c r="M57" s="2031"/>
      <c r="N57" s="2031"/>
      <c r="O57" s="2031"/>
      <c r="P57" s="2031"/>
      <c r="Q57" s="2031"/>
      <c r="R57" s="2032">
        <f>SUM(R52:Y56)</f>
        <v>0</v>
      </c>
      <c r="S57" s="2032"/>
      <c r="T57" s="2032"/>
      <c r="U57" s="2032"/>
      <c r="V57" s="2032"/>
      <c r="W57" s="2032"/>
      <c r="X57" s="2032"/>
      <c r="Y57" s="2032"/>
      <c r="Z57" s="2033">
        <f>SUM(Z52:AG56)</f>
        <v>0</v>
      </c>
      <c r="AA57" s="2033"/>
      <c r="AB57" s="2033"/>
      <c r="AC57" s="2033"/>
      <c r="AD57" s="2033"/>
      <c r="AE57" s="2033"/>
      <c r="AF57" s="2033"/>
      <c r="AG57" s="2033"/>
      <c r="AH57" s="2034"/>
      <c r="AI57" s="2034"/>
      <c r="AJ57" s="2034"/>
      <c r="AK57" s="2034"/>
      <c r="AL57" s="2034"/>
      <c r="AM57" s="2034"/>
      <c r="AN57" s="2034"/>
      <c r="AO57" s="203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1" t="s">
        <v>2404</v>
      </c>
      <c r="C59" s="2022"/>
      <c r="D59" s="2022"/>
      <c r="E59" s="2022"/>
      <c r="F59" s="2022"/>
      <c r="G59" s="2022"/>
      <c r="H59" s="2022"/>
      <c r="I59" s="2023"/>
      <c r="J59" s="1915" t="s">
        <v>2403</v>
      </c>
      <c r="K59" s="1915"/>
      <c r="L59" s="1915"/>
      <c r="M59" s="1915"/>
      <c r="N59" s="1915"/>
      <c r="O59" s="1915"/>
      <c r="P59" s="1915"/>
      <c r="Q59" s="1915"/>
      <c r="R59" s="1915"/>
      <c r="S59" s="1915"/>
      <c r="T59" s="1915"/>
      <c r="U59" s="1915"/>
      <c r="V59" s="1915"/>
      <c r="W59" s="1915"/>
      <c r="X59" s="1915"/>
      <c r="Y59" s="1915"/>
      <c r="Z59" s="1915"/>
      <c r="AA59" s="1915"/>
      <c r="AB59" s="1915"/>
      <c r="AC59" s="1915"/>
      <c r="AD59" s="1915"/>
      <c r="AE59" s="1915"/>
      <c r="AF59" s="1915"/>
      <c r="AG59" s="1915"/>
      <c r="AH59" s="1915"/>
      <c r="AI59" s="1915"/>
      <c r="AJ59" s="1915"/>
      <c r="AK59" s="1915"/>
      <c r="AL59" s="1915"/>
      <c r="AM59" s="1915"/>
      <c r="AN59" s="1915"/>
      <c r="AO59" s="1915"/>
      <c r="AP59" s="1915"/>
      <c r="AQ59" s="1915"/>
      <c r="AR59" s="1915"/>
      <c r="AS59" s="1915"/>
      <c r="AT59" s="1915"/>
      <c r="AU59" s="1915"/>
      <c r="AV59" s="1915"/>
      <c r="AW59" s="1916"/>
      <c r="AX59" s="1190"/>
      <c r="AY59" s="1190"/>
      <c r="AZ59" s="1190"/>
      <c r="BA59" s="1190"/>
      <c r="BB59" s="1190"/>
      <c r="BC59" s="1190"/>
      <c r="BD59" s="1190"/>
      <c r="BE59" s="1194"/>
    </row>
    <row r="60" spans="1:77" ht="15.75" customHeight="1">
      <c r="A60" s="1190"/>
      <c r="B60" s="2024" t="str">
        <f>IF(B52="", "", B52)</f>
        <v>Services Company 1</v>
      </c>
      <c r="C60" s="2025"/>
      <c r="D60" s="2025"/>
      <c r="E60" s="2025"/>
      <c r="F60" s="2025"/>
      <c r="G60" s="2025"/>
      <c r="H60" s="2025"/>
      <c r="I60" s="2026"/>
      <c r="J60" s="2027"/>
      <c r="K60" s="2028"/>
      <c r="L60" s="2028"/>
      <c r="M60" s="2028"/>
      <c r="N60" s="2028"/>
      <c r="O60" s="2028"/>
      <c r="P60" s="2028"/>
      <c r="Q60" s="2028"/>
      <c r="R60" s="2028"/>
      <c r="S60" s="2028"/>
      <c r="T60" s="2028"/>
      <c r="U60" s="2028"/>
      <c r="V60" s="2028"/>
      <c r="W60" s="2028"/>
      <c r="X60" s="2028"/>
      <c r="Y60" s="2028"/>
      <c r="Z60" s="2028"/>
      <c r="AA60" s="2028"/>
      <c r="AB60" s="2028"/>
      <c r="AC60" s="2028"/>
      <c r="AD60" s="2028"/>
      <c r="AE60" s="2028"/>
      <c r="AF60" s="2028"/>
      <c r="AG60" s="2028"/>
      <c r="AH60" s="2028"/>
      <c r="AI60" s="2028"/>
      <c r="AJ60" s="2028"/>
      <c r="AK60" s="2028"/>
      <c r="AL60" s="2028"/>
      <c r="AM60" s="2028"/>
      <c r="AN60" s="2028"/>
      <c r="AO60" s="2028"/>
      <c r="AP60" s="2028"/>
      <c r="AQ60" s="2028"/>
      <c r="AR60" s="2028"/>
      <c r="AS60" s="2028"/>
      <c r="AT60" s="2028"/>
      <c r="AU60" s="2028"/>
      <c r="AV60" s="2028"/>
      <c r="AW60" s="2029"/>
      <c r="AX60" s="1190"/>
      <c r="AY60" s="1190"/>
      <c r="AZ60" s="1190"/>
      <c r="BA60" s="1190"/>
      <c r="BB60" s="1190"/>
      <c r="BC60" s="1190"/>
      <c r="BD60" s="1190"/>
      <c r="BE60" s="1194"/>
    </row>
    <row r="61" spans="1:77" ht="15.75" customHeight="1">
      <c r="A61" s="1190"/>
      <c r="B61" s="2024" t="str">
        <f>IF(B53="", "", B53)</f>
        <v>Services Company 2</v>
      </c>
      <c r="C61" s="2025"/>
      <c r="D61" s="2025"/>
      <c r="E61" s="2025"/>
      <c r="F61" s="2025"/>
      <c r="G61" s="2025"/>
      <c r="H61" s="2025"/>
      <c r="I61" s="2026"/>
      <c r="J61" s="2027"/>
      <c r="K61" s="2028"/>
      <c r="L61" s="2028"/>
      <c r="M61" s="2028"/>
      <c r="N61" s="2028"/>
      <c r="O61" s="2028"/>
      <c r="P61" s="2028"/>
      <c r="Q61" s="2028"/>
      <c r="R61" s="2028"/>
      <c r="S61" s="2028"/>
      <c r="T61" s="2028"/>
      <c r="U61" s="2028"/>
      <c r="V61" s="2028"/>
      <c r="W61" s="2028"/>
      <c r="X61" s="2028"/>
      <c r="Y61" s="2028"/>
      <c r="Z61" s="2028"/>
      <c r="AA61" s="2028"/>
      <c r="AB61" s="2028"/>
      <c r="AC61" s="2028"/>
      <c r="AD61" s="2028"/>
      <c r="AE61" s="2028"/>
      <c r="AF61" s="2028"/>
      <c r="AG61" s="2028"/>
      <c r="AH61" s="2028"/>
      <c r="AI61" s="2028"/>
      <c r="AJ61" s="2028"/>
      <c r="AK61" s="2028"/>
      <c r="AL61" s="2028"/>
      <c r="AM61" s="2028"/>
      <c r="AN61" s="2028"/>
      <c r="AO61" s="2028"/>
      <c r="AP61" s="2028"/>
      <c r="AQ61" s="2028"/>
      <c r="AR61" s="2028"/>
      <c r="AS61" s="2028"/>
      <c r="AT61" s="2028"/>
      <c r="AU61" s="2028"/>
      <c r="AV61" s="2028"/>
      <c r="AW61" s="2029"/>
      <c r="AX61" s="1190"/>
      <c r="AY61" s="1190"/>
      <c r="AZ61" s="1190"/>
      <c r="BA61" s="1190"/>
      <c r="BB61" s="1190"/>
      <c r="BC61" s="1190"/>
      <c r="BD61" s="1190"/>
      <c r="BE61" s="1194"/>
    </row>
    <row r="62" spans="1:77" ht="15.75" customHeight="1">
      <c r="A62" s="1190"/>
      <c r="B62" s="2024" t="str">
        <f>IF(B54="", "", B54)</f>
        <v/>
      </c>
      <c r="C62" s="2025"/>
      <c r="D62" s="2025"/>
      <c r="E62" s="2025"/>
      <c r="F62" s="2025"/>
      <c r="G62" s="2025"/>
      <c r="H62" s="2025"/>
      <c r="I62" s="2026"/>
      <c r="J62" s="2027"/>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8"/>
      <c r="AK62" s="2028"/>
      <c r="AL62" s="2028"/>
      <c r="AM62" s="2028"/>
      <c r="AN62" s="2028"/>
      <c r="AO62" s="2028"/>
      <c r="AP62" s="2028"/>
      <c r="AQ62" s="2028"/>
      <c r="AR62" s="2028"/>
      <c r="AS62" s="2028"/>
      <c r="AT62" s="2028"/>
      <c r="AU62" s="2028"/>
      <c r="AV62" s="2028"/>
      <c r="AW62" s="2029"/>
      <c r="AX62" s="1190"/>
      <c r="AY62" s="1190"/>
      <c r="AZ62" s="1190"/>
      <c r="BA62" s="1190"/>
      <c r="BB62" s="1190"/>
      <c r="BC62" s="1190"/>
      <c r="BD62" s="1190"/>
      <c r="BE62" s="1194"/>
    </row>
    <row r="63" spans="1:77" ht="15.75" customHeight="1">
      <c r="A63" s="1190"/>
      <c r="B63" s="2024" t="str">
        <f>IF(B55="", "", B55)</f>
        <v/>
      </c>
      <c r="C63" s="2025"/>
      <c r="D63" s="2025"/>
      <c r="E63" s="2025"/>
      <c r="F63" s="2025"/>
      <c r="G63" s="2025"/>
      <c r="H63" s="2025"/>
      <c r="I63" s="2026"/>
      <c r="J63" s="2027"/>
      <c r="K63" s="2028"/>
      <c r="L63" s="2028"/>
      <c r="M63" s="2028"/>
      <c r="N63" s="2028"/>
      <c r="O63" s="2028"/>
      <c r="P63" s="2028"/>
      <c r="Q63" s="2028"/>
      <c r="R63" s="2028"/>
      <c r="S63" s="2028"/>
      <c r="T63" s="2028"/>
      <c r="U63" s="2028"/>
      <c r="V63" s="2028"/>
      <c r="W63" s="2028"/>
      <c r="X63" s="2028"/>
      <c r="Y63" s="2028"/>
      <c r="Z63" s="2028"/>
      <c r="AA63" s="2028"/>
      <c r="AB63" s="2028"/>
      <c r="AC63" s="2028"/>
      <c r="AD63" s="2028"/>
      <c r="AE63" s="2028"/>
      <c r="AF63" s="2028"/>
      <c r="AG63" s="2028"/>
      <c r="AH63" s="2028"/>
      <c r="AI63" s="2028"/>
      <c r="AJ63" s="2028"/>
      <c r="AK63" s="2028"/>
      <c r="AL63" s="2028"/>
      <c r="AM63" s="2028"/>
      <c r="AN63" s="2028"/>
      <c r="AO63" s="2028"/>
      <c r="AP63" s="2028"/>
      <c r="AQ63" s="2028"/>
      <c r="AR63" s="2028"/>
      <c r="AS63" s="2028"/>
      <c r="AT63" s="2028"/>
      <c r="AU63" s="2028"/>
      <c r="AV63" s="2028"/>
      <c r="AW63" s="2029"/>
      <c r="AX63" s="1190"/>
      <c r="AY63" s="1190"/>
      <c r="AZ63" s="1190"/>
      <c r="BA63" s="1190"/>
      <c r="BB63" s="1190"/>
      <c r="BC63" s="1190"/>
      <c r="BD63" s="1190"/>
      <c r="BE63" s="1194"/>
    </row>
    <row r="64" spans="1:77" ht="15.75" customHeight="1" thickBot="1">
      <c r="A64" s="1190"/>
      <c r="B64" s="2046" t="str">
        <f>IF(B56="", "", B56)</f>
        <v/>
      </c>
      <c r="C64" s="2047"/>
      <c r="D64" s="2047"/>
      <c r="E64" s="2047"/>
      <c r="F64" s="2047"/>
      <c r="G64" s="2047"/>
      <c r="H64" s="2047"/>
      <c r="I64" s="2048"/>
      <c r="J64" s="2049"/>
      <c r="K64" s="2050"/>
      <c r="L64" s="2050"/>
      <c r="M64" s="2050"/>
      <c r="N64" s="2050"/>
      <c r="O64" s="2050"/>
      <c r="P64" s="2050"/>
      <c r="Q64" s="2050"/>
      <c r="R64" s="2050"/>
      <c r="S64" s="2050"/>
      <c r="T64" s="2050"/>
      <c r="U64" s="2050"/>
      <c r="V64" s="2050"/>
      <c r="W64" s="2050"/>
      <c r="X64" s="2050"/>
      <c r="Y64" s="2050"/>
      <c r="Z64" s="2050"/>
      <c r="AA64" s="2050"/>
      <c r="AB64" s="2050"/>
      <c r="AC64" s="2050"/>
      <c r="AD64" s="2050"/>
      <c r="AE64" s="2050"/>
      <c r="AF64" s="2050"/>
      <c r="AG64" s="2050"/>
      <c r="AH64" s="2050"/>
      <c r="AI64" s="2050"/>
      <c r="AJ64" s="2050"/>
      <c r="AK64" s="2050"/>
      <c r="AL64" s="2050"/>
      <c r="AM64" s="2050"/>
      <c r="AN64" s="2050"/>
      <c r="AO64" s="2050"/>
      <c r="AP64" s="2050"/>
      <c r="AQ64" s="2050"/>
      <c r="AR64" s="2050"/>
      <c r="AS64" s="2050"/>
      <c r="AT64" s="2050"/>
      <c r="AU64" s="2050"/>
      <c r="AV64" s="2050"/>
      <c r="AW64" s="205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4" t="s">
        <v>2401</v>
      </c>
      <c r="C68" s="1915"/>
      <c r="D68" s="1915"/>
      <c r="E68" s="1915"/>
      <c r="F68" s="1915"/>
      <c r="G68" s="1915"/>
      <c r="H68" s="1915"/>
      <c r="I68" s="1915"/>
      <c r="J68" s="1915"/>
      <c r="K68" s="1915"/>
      <c r="L68" s="1915"/>
      <c r="M68" s="1915"/>
      <c r="N68" s="1915"/>
      <c r="O68" s="1915"/>
      <c r="P68" s="1915"/>
      <c r="Q68" s="1915"/>
      <c r="R68" s="1915"/>
      <c r="S68" s="1915"/>
      <c r="T68" s="1915"/>
      <c r="U68" s="1915"/>
      <c r="V68" s="1915"/>
      <c r="W68" s="1915"/>
      <c r="X68" s="1915"/>
      <c r="Y68" s="1915"/>
      <c r="Z68" s="1915"/>
      <c r="AA68" s="1916"/>
      <c r="AB68" s="1190"/>
      <c r="AC68" s="2058" t="s">
        <v>2400</v>
      </c>
      <c r="AD68" s="2059"/>
      <c r="AE68" s="2059"/>
      <c r="AF68" s="2059"/>
      <c r="AG68" s="2059"/>
      <c r="AH68" s="2059"/>
      <c r="AI68" s="2059"/>
      <c r="AJ68" s="2059"/>
      <c r="AK68" s="2059"/>
      <c r="AL68" s="2059"/>
      <c r="AM68" s="2059"/>
      <c r="AN68" s="2059"/>
      <c r="AO68" s="2059"/>
      <c r="AP68" s="2059"/>
      <c r="AQ68" s="2059"/>
      <c r="AR68" s="2059"/>
      <c r="AS68" s="2059"/>
      <c r="AT68" s="2059"/>
      <c r="AU68" s="2059"/>
      <c r="AV68" s="2036" t="s">
        <v>670</v>
      </c>
      <c r="AW68" s="2037"/>
      <c r="AX68" s="2037"/>
      <c r="AY68" s="2037"/>
      <c r="AZ68" s="2037"/>
      <c r="BA68" s="2037"/>
      <c r="BB68" s="2037"/>
      <c r="BC68" s="2038"/>
      <c r="BD68" s="1190"/>
      <c r="BE68" s="1194"/>
      <c r="BM68" s="1199" t="s">
        <v>2399</v>
      </c>
    </row>
    <row r="69" spans="1:94" ht="15.75" customHeight="1" thickTop="1" thickBot="1">
      <c r="A69" s="1190"/>
      <c r="B69" s="2039" t="s">
        <v>2398</v>
      </c>
      <c r="C69" s="2040"/>
      <c r="D69" s="2040"/>
      <c r="E69" s="2040"/>
      <c r="F69" s="2040"/>
      <c r="G69" s="2040"/>
      <c r="H69" s="2040"/>
      <c r="I69" s="2040"/>
      <c r="J69" s="2040"/>
      <c r="K69" s="2040"/>
      <c r="L69" s="2040"/>
      <c r="M69" s="2040"/>
      <c r="N69" s="2040"/>
      <c r="O69" s="2041" t="s">
        <v>2397</v>
      </c>
      <c r="P69" s="2042"/>
      <c r="Q69" s="2042"/>
      <c r="R69" s="2042"/>
      <c r="S69" s="2042"/>
      <c r="T69" s="2042"/>
      <c r="U69" s="2042"/>
      <c r="V69" s="2042"/>
      <c r="W69" s="2042"/>
      <c r="X69" s="2042"/>
      <c r="Y69" s="2042"/>
      <c r="Z69" s="2042"/>
      <c r="AA69" s="2043"/>
      <c r="AB69" s="1190"/>
      <c r="AC69" s="2044" t="s">
        <v>2396</v>
      </c>
      <c r="AD69" s="2045"/>
      <c r="AE69" s="2045"/>
      <c r="AF69" s="2045"/>
      <c r="AG69" s="2045"/>
      <c r="AH69" s="2045"/>
      <c r="AI69" s="2045"/>
      <c r="AJ69" s="2045"/>
      <c r="AK69" s="2045"/>
      <c r="AL69" s="2045"/>
      <c r="AM69" s="2045"/>
      <c r="AN69" s="2045"/>
      <c r="AO69" s="2045"/>
      <c r="AP69" s="2045"/>
      <c r="AQ69" s="2045"/>
      <c r="AR69" s="2045"/>
      <c r="AS69" s="2045"/>
      <c r="AT69" s="2045"/>
      <c r="AU69" s="2045"/>
      <c r="AV69" s="2036" t="s">
        <v>670</v>
      </c>
      <c r="AW69" s="2037"/>
      <c r="AX69" s="2037"/>
      <c r="AY69" s="2037"/>
      <c r="AZ69" s="2037"/>
      <c r="BA69" s="2037"/>
      <c r="BB69" s="2037"/>
      <c r="BC69" s="2038"/>
      <c r="BD69" s="1190"/>
      <c r="BE69" s="1194"/>
      <c r="BM69" s="1200" t="s">
        <v>546</v>
      </c>
    </row>
    <row r="70" spans="1:94" ht="15.75" customHeight="1">
      <c r="A70" s="1190"/>
      <c r="B70" s="1993" t="s">
        <v>2395</v>
      </c>
      <c r="C70" s="1994"/>
      <c r="D70" s="1994"/>
      <c r="E70" s="1994"/>
      <c r="F70" s="1994"/>
      <c r="G70" s="1994"/>
      <c r="H70" s="1994"/>
      <c r="I70" s="1994"/>
      <c r="J70" s="1994"/>
      <c r="K70" s="1994"/>
      <c r="L70" s="1994"/>
      <c r="M70" s="1994"/>
      <c r="N70" s="1994"/>
      <c r="O70" s="2052">
        <v>0</v>
      </c>
      <c r="P70" s="2052"/>
      <c r="Q70" s="2052"/>
      <c r="R70" s="2052"/>
      <c r="S70" s="2052"/>
      <c r="T70" s="2052"/>
      <c r="U70" s="2052"/>
      <c r="V70" s="2052"/>
      <c r="W70" s="2052"/>
      <c r="X70" s="2052"/>
      <c r="Y70" s="2052"/>
      <c r="Z70" s="2052"/>
      <c r="AA70" s="2053"/>
      <c r="AB70" s="1190"/>
      <c r="AC70" s="2009" t="s">
        <v>2394</v>
      </c>
      <c r="AD70" s="2010"/>
      <c r="AE70" s="2010"/>
      <c r="AF70" s="2054"/>
      <c r="AG70" s="2054"/>
      <c r="AH70" s="2054"/>
      <c r="AI70" s="2054"/>
      <c r="AJ70" s="2054"/>
      <c r="AK70" s="2054"/>
      <c r="AL70" s="2054"/>
      <c r="AM70" s="2054"/>
      <c r="AN70" s="2054"/>
      <c r="AO70" s="2054"/>
      <c r="AP70" s="2054"/>
      <c r="AQ70" s="2054"/>
      <c r="AR70" s="2054"/>
      <c r="AS70" s="2054"/>
      <c r="AT70" s="2054"/>
      <c r="AU70" s="2055"/>
      <c r="AV70" s="1190"/>
      <c r="AW70" s="1190"/>
      <c r="AX70" s="1190"/>
      <c r="AY70" s="1190"/>
      <c r="AZ70" s="1190"/>
      <c r="BA70" s="1190"/>
      <c r="BB70" s="1190"/>
      <c r="BC70" s="1190"/>
      <c r="BD70" s="1190"/>
      <c r="BE70" s="1194"/>
      <c r="BM70" s="1201" t="s">
        <v>670</v>
      </c>
    </row>
    <row r="71" spans="1:94" ht="15.75" customHeight="1" thickBot="1">
      <c r="A71" s="1190"/>
      <c r="B71" s="1993" t="s">
        <v>2393</v>
      </c>
      <c r="C71" s="1994"/>
      <c r="D71" s="1994"/>
      <c r="E71" s="1994"/>
      <c r="F71" s="1994"/>
      <c r="G71" s="1994"/>
      <c r="H71" s="1994"/>
      <c r="I71" s="1994"/>
      <c r="J71" s="1994"/>
      <c r="K71" s="1994"/>
      <c r="L71" s="1994"/>
      <c r="M71" s="1994"/>
      <c r="N71" s="1994"/>
      <c r="O71" s="2052">
        <v>0</v>
      </c>
      <c r="P71" s="2052"/>
      <c r="Q71" s="2052"/>
      <c r="R71" s="2052"/>
      <c r="S71" s="2052"/>
      <c r="T71" s="2052"/>
      <c r="U71" s="2052"/>
      <c r="V71" s="2052"/>
      <c r="W71" s="2052"/>
      <c r="X71" s="2052"/>
      <c r="Y71" s="2052"/>
      <c r="Z71" s="2052"/>
      <c r="AA71" s="2053"/>
      <c r="AB71" s="1190"/>
      <c r="AC71" s="2056" t="s">
        <v>2392</v>
      </c>
      <c r="AD71" s="2057"/>
      <c r="AE71" s="2057"/>
      <c r="AF71" s="2050"/>
      <c r="AG71" s="2050"/>
      <c r="AH71" s="2050"/>
      <c r="AI71" s="2050"/>
      <c r="AJ71" s="2050"/>
      <c r="AK71" s="2050"/>
      <c r="AL71" s="2050"/>
      <c r="AM71" s="2050"/>
      <c r="AN71" s="2050"/>
      <c r="AO71" s="2050"/>
      <c r="AP71" s="2050"/>
      <c r="AQ71" s="2050"/>
      <c r="AR71" s="2050"/>
      <c r="AS71" s="2050"/>
      <c r="AT71" s="2050"/>
      <c r="AU71" s="2051"/>
      <c r="AV71" s="1190"/>
      <c r="AW71" s="1190"/>
      <c r="AX71" s="1190"/>
      <c r="AY71" s="1190"/>
      <c r="AZ71" s="1190"/>
      <c r="BA71" s="1190"/>
      <c r="BB71" s="1190"/>
      <c r="BC71" s="1190"/>
      <c r="BD71" s="1190"/>
      <c r="BE71" s="1194"/>
      <c r="BM71" s="1187" t="s">
        <v>2391</v>
      </c>
    </row>
    <row r="72" spans="1:94" ht="15.75" customHeight="1">
      <c r="A72" s="1190"/>
      <c r="B72" s="1993" t="s">
        <v>2390</v>
      </c>
      <c r="C72" s="1994"/>
      <c r="D72" s="1994"/>
      <c r="E72" s="1994"/>
      <c r="F72" s="1994"/>
      <c r="G72" s="1994"/>
      <c r="H72" s="1994"/>
      <c r="I72" s="1994"/>
      <c r="J72" s="1994"/>
      <c r="K72" s="1994"/>
      <c r="L72" s="1994"/>
      <c r="M72" s="1994"/>
      <c r="N72" s="1994"/>
      <c r="O72" s="2052">
        <v>0</v>
      </c>
      <c r="P72" s="2052"/>
      <c r="Q72" s="2052"/>
      <c r="R72" s="2052"/>
      <c r="S72" s="2052"/>
      <c r="T72" s="2052"/>
      <c r="U72" s="2052"/>
      <c r="V72" s="2052"/>
      <c r="W72" s="2052"/>
      <c r="X72" s="2052"/>
      <c r="Y72" s="2052"/>
      <c r="Z72" s="2052"/>
      <c r="AA72" s="2053"/>
      <c r="AB72" s="1190"/>
      <c r="AC72" s="2076" t="s">
        <v>2389</v>
      </c>
      <c r="AD72" s="2077"/>
      <c r="AE72" s="2077"/>
      <c r="AF72" s="2077"/>
      <c r="AG72" s="2077"/>
      <c r="AH72" s="2077"/>
      <c r="AI72" s="2077"/>
      <c r="AJ72" s="2077"/>
      <c r="AK72" s="2077"/>
      <c r="AL72" s="2077"/>
      <c r="AM72" s="2077"/>
      <c r="AN72" s="2077"/>
      <c r="AO72" s="2077"/>
      <c r="AP72" s="2077"/>
      <c r="AQ72" s="2077"/>
      <c r="AR72" s="2077"/>
      <c r="AS72" s="2077"/>
      <c r="AT72" s="2077"/>
      <c r="AU72" s="2077"/>
      <c r="AV72" s="2010"/>
      <c r="AW72" s="2010"/>
      <c r="AX72" s="2010"/>
      <c r="AY72" s="2010"/>
      <c r="AZ72" s="2010"/>
      <c r="BA72" s="2010"/>
      <c r="BB72" s="2010"/>
      <c r="BC72" s="2011"/>
      <c r="BD72" s="1190"/>
      <c r="BE72" s="1194"/>
    </row>
    <row r="73" spans="1:94" ht="15.75" customHeight="1">
      <c r="A73" s="1190"/>
      <c r="B73" s="1997" t="s">
        <v>2388</v>
      </c>
      <c r="C73" s="1998"/>
      <c r="D73" s="1998"/>
      <c r="E73" s="1998"/>
      <c r="F73" s="1998"/>
      <c r="G73" s="1998"/>
      <c r="H73" s="1998"/>
      <c r="I73" s="1998"/>
      <c r="J73" s="1998"/>
      <c r="K73" s="1998"/>
      <c r="L73" s="1998"/>
      <c r="M73" s="1998"/>
      <c r="N73" s="1998"/>
      <c r="O73" s="2052">
        <v>0</v>
      </c>
      <c r="P73" s="2052"/>
      <c r="Q73" s="2052"/>
      <c r="R73" s="2052"/>
      <c r="S73" s="2052"/>
      <c r="T73" s="2052"/>
      <c r="U73" s="2052"/>
      <c r="V73" s="2052"/>
      <c r="W73" s="2052"/>
      <c r="X73" s="2052"/>
      <c r="Y73" s="2052"/>
      <c r="Z73" s="2052"/>
      <c r="AA73" s="2053"/>
      <c r="AB73" s="1190"/>
      <c r="AC73" s="2078" t="s">
        <v>2333</v>
      </c>
      <c r="AD73" s="2079"/>
      <c r="AE73" s="2079"/>
      <c r="AF73" s="2079"/>
      <c r="AG73" s="2079"/>
      <c r="AH73" s="2079"/>
      <c r="AI73" s="2079"/>
      <c r="AJ73" s="2079"/>
      <c r="AK73" s="2079"/>
      <c r="AL73" s="2079"/>
      <c r="AM73" s="2079"/>
      <c r="AN73" s="2079"/>
      <c r="AO73" s="2079"/>
      <c r="AP73" s="2079"/>
      <c r="AQ73" s="2079"/>
      <c r="AR73" s="2079"/>
      <c r="AS73" s="2079"/>
      <c r="AT73" s="2079"/>
      <c r="AU73" s="2079"/>
      <c r="AV73" s="2079"/>
      <c r="AW73" s="2079"/>
      <c r="AX73" s="2079"/>
      <c r="AY73" s="2079"/>
      <c r="AZ73" s="2079"/>
      <c r="BA73" s="2079"/>
      <c r="BB73" s="2079"/>
      <c r="BC73" s="2080"/>
      <c r="BD73" s="1190"/>
      <c r="BE73" s="1194"/>
      <c r="CK73" s="1188"/>
      <c r="CL73" s="1188"/>
      <c r="CM73" s="1188"/>
      <c r="CN73" s="1188"/>
      <c r="CO73" s="1188"/>
      <c r="CP73" s="1188"/>
    </row>
    <row r="74" spans="1:94" ht="15.75" customHeight="1">
      <c r="A74" s="1190"/>
      <c r="B74" s="2084"/>
      <c r="C74" s="2016"/>
      <c r="D74" s="2016"/>
      <c r="E74" s="2016"/>
      <c r="F74" s="2016"/>
      <c r="G74" s="2016"/>
      <c r="H74" s="2016"/>
      <c r="I74" s="2016"/>
      <c r="J74" s="2016"/>
      <c r="K74" s="2016"/>
      <c r="L74" s="2016"/>
      <c r="M74" s="2016"/>
      <c r="N74" s="2016"/>
      <c r="O74" s="2052"/>
      <c r="P74" s="2052"/>
      <c r="Q74" s="2052"/>
      <c r="R74" s="2052"/>
      <c r="S74" s="2052"/>
      <c r="T74" s="2052"/>
      <c r="U74" s="2052"/>
      <c r="V74" s="2052"/>
      <c r="W74" s="2052"/>
      <c r="X74" s="2052"/>
      <c r="Y74" s="2052"/>
      <c r="Z74" s="2052"/>
      <c r="AA74" s="2053"/>
      <c r="AB74" s="1190"/>
      <c r="AC74" s="2078"/>
      <c r="AD74" s="2079"/>
      <c r="AE74" s="2079"/>
      <c r="AF74" s="2079"/>
      <c r="AG74" s="2079"/>
      <c r="AH74" s="2079"/>
      <c r="AI74" s="2079"/>
      <c r="AJ74" s="2079"/>
      <c r="AK74" s="2079"/>
      <c r="AL74" s="2079"/>
      <c r="AM74" s="2079"/>
      <c r="AN74" s="2079"/>
      <c r="AO74" s="2079"/>
      <c r="AP74" s="2079"/>
      <c r="AQ74" s="2079"/>
      <c r="AR74" s="2079"/>
      <c r="AS74" s="2079"/>
      <c r="AT74" s="2079"/>
      <c r="AU74" s="2079"/>
      <c r="AV74" s="2079"/>
      <c r="AW74" s="2079"/>
      <c r="AX74" s="2079"/>
      <c r="AY74" s="2079"/>
      <c r="AZ74" s="2079"/>
      <c r="BA74" s="2079"/>
      <c r="BB74" s="2079"/>
      <c r="BC74" s="2080"/>
      <c r="BD74" s="1190"/>
      <c r="BE74" s="1194"/>
      <c r="CK74" s="1188"/>
      <c r="CL74" s="1188"/>
      <c r="CM74" s="1188"/>
      <c r="CN74" s="1188"/>
      <c r="CO74" s="1188"/>
      <c r="CP74" s="1188"/>
    </row>
    <row r="75" spans="1:94" ht="15.75" customHeight="1" thickBot="1">
      <c r="A75" s="1190"/>
      <c r="B75" s="2085" t="s">
        <v>124</v>
      </c>
      <c r="C75" s="2086"/>
      <c r="D75" s="2086"/>
      <c r="E75" s="2086"/>
      <c r="F75" s="2086"/>
      <c r="G75" s="2086"/>
      <c r="H75" s="2086"/>
      <c r="I75" s="2086"/>
      <c r="J75" s="2086"/>
      <c r="K75" s="2086"/>
      <c r="L75" s="2086"/>
      <c r="M75" s="2086"/>
      <c r="N75" s="2086"/>
      <c r="O75" s="2087">
        <f>SUM(O70:AA74)</f>
        <v>0</v>
      </c>
      <c r="P75" s="2087"/>
      <c r="Q75" s="2087"/>
      <c r="R75" s="2087"/>
      <c r="S75" s="2087"/>
      <c r="T75" s="2087"/>
      <c r="U75" s="2087"/>
      <c r="V75" s="2087"/>
      <c r="W75" s="2087"/>
      <c r="X75" s="2087"/>
      <c r="Y75" s="2087"/>
      <c r="Z75" s="2087"/>
      <c r="AA75" s="2088"/>
      <c r="AB75" s="1190"/>
      <c r="AC75" s="2078"/>
      <c r="AD75" s="2079"/>
      <c r="AE75" s="2079"/>
      <c r="AF75" s="2079"/>
      <c r="AG75" s="2079"/>
      <c r="AH75" s="2079"/>
      <c r="AI75" s="2079"/>
      <c r="AJ75" s="2079"/>
      <c r="AK75" s="2079"/>
      <c r="AL75" s="2079"/>
      <c r="AM75" s="2079"/>
      <c r="AN75" s="2079"/>
      <c r="AO75" s="2079"/>
      <c r="AP75" s="2079"/>
      <c r="AQ75" s="2079"/>
      <c r="AR75" s="2079"/>
      <c r="AS75" s="2079"/>
      <c r="AT75" s="2079"/>
      <c r="AU75" s="2079"/>
      <c r="AV75" s="2079"/>
      <c r="AW75" s="2079"/>
      <c r="AX75" s="2079"/>
      <c r="AY75" s="2079"/>
      <c r="AZ75" s="2079"/>
      <c r="BA75" s="2079"/>
      <c r="BB75" s="2079"/>
      <c r="BC75" s="208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8"/>
      <c r="AD76" s="2079"/>
      <c r="AE76" s="2079"/>
      <c r="AF76" s="2079"/>
      <c r="AG76" s="2079"/>
      <c r="AH76" s="2079"/>
      <c r="AI76" s="2079"/>
      <c r="AJ76" s="2079"/>
      <c r="AK76" s="2079"/>
      <c r="AL76" s="2079"/>
      <c r="AM76" s="2079"/>
      <c r="AN76" s="2079"/>
      <c r="AO76" s="2079"/>
      <c r="AP76" s="2079"/>
      <c r="AQ76" s="2079"/>
      <c r="AR76" s="2079"/>
      <c r="AS76" s="2079"/>
      <c r="AT76" s="2079"/>
      <c r="AU76" s="2079"/>
      <c r="AV76" s="2079"/>
      <c r="AW76" s="2079"/>
      <c r="AX76" s="2079"/>
      <c r="AY76" s="2079"/>
      <c r="AZ76" s="2079"/>
      <c r="BA76" s="2079"/>
      <c r="BB76" s="2079"/>
      <c r="BC76" s="208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1"/>
      <c r="AD77" s="2082"/>
      <c r="AE77" s="2082"/>
      <c r="AF77" s="2082"/>
      <c r="AG77" s="2082"/>
      <c r="AH77" s="2082"/>
      <c r="AI77" s="2082"/>
      <c r="AJ77" s="2082"/>
      <c r="AK77" s="2082"/>
      <c r="AL77" s="2082"/>
      <c r="AM77" s="2082"/>
      <c r="AN77" s="2082"/>
      <c r="AO77" s="2082"/>
      <c r="AP77" s="2082"/>
      <c r="AQ77" s="2082"/>
      <c r="AR77" s="2082"/>
      <c r="AS77" s="2082"/>
      <c r="AT77" s="2082"/>
      <c r="AU77" s="2082"/>
      <c r="AV77" s="2082"/>
      <c r="AW77" s="2082"/>
      <c r="AX77" s="2082"/>
      <c r="AY77" s="2082"/>
      <c r="AZ77" s="2082"/>
      <c r="BA77" s="2082"/>
      <c r="BB77" s="2082"/>
      <c r="BC77" s="2083"/>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60"/>
      <c r="G79" s="2061"/>
      <c r="H79" s="2061"/>
      <c r="I79" s="2061"/>
      <c r="J79" s="2061"/>
      <c r="K79" s="2061"/>
      <c r="L79" s="2061"/>
      <c r="M79" s="2061"/>
      <c r="N79" s="2061"/>
      <c r="O79" s="2061"/>
      <c r="P79" s="2061"/>
      <c r="Q79" s="2061"/>
      <c r="R79" s="2061"/>
      <c r="S79" s="2061"/>
      <c r="T79" s="206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3" t="s">
        <v>2386</v>
      </c>
      <c r="C80" s="2064"/>
      <c r="D80" s="2064"/>
      <c r="E80" s="2064"/>
      <c r="F80" s="2064"/>
      <c r="G80" s="2064"/>
      <c r="H80" s="2064"/>
      <c r="I80" s="2064"/>
      <c r="J80" s="2064"/>
      <c r="K80" s="2064"/>
      <c r="L80" s="2064"/>
      <c r="M80" s="2064"/>
      <c r="N80" s="2064"/>
      <c r="O80" s="2064"/>
      <c r="P80" s="2064"/>
      <c r="Q80" s="2064"/>
      <c r="R80" s="2065" t="str">
        <f>IFERROR(INDEX(BR96:BR98,MATCH(F79,$BQ$96:$BQ$98,0))/SUM($BR$96:$BR$98),"")</f>
        <v/>
      </c>
      <c r="S80" s="2066"/>
      <c r="T80" s="206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8" t="s">
        <v>2385</v>
      </c>
      <c r="C81" s="2069"/>
      <c r="D81" s="2069"/>
      <c r="E81" s="2069"/>
      <c r="F81" s="2069"/>
      <c r="G81" s="2069"/>
      <c r="H81" s="2069"/>
      <c r="I81" s="2069"/>
      <c r="J81" s="2069"/>
      <c r="K81" s="2069"/>
      <c r="L81" s="2069"/>
      <c r="M81" s="2069"/>
      <c r="N81" s="2069"/>
      <c r="O81" s="2069"/>
      <c r="P81" s="2069"/>
      <c r="Q81" s="2069"/>
      <c r="R81" s="2070" t="s">
        <v>2190</v>
      </c>
      <c r="S81" s="2071"/>
      <c r="T81" s="207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3" t="s">
        <v>2384</v>
      </c>
      <c r="C83" s="2074"/>
      <c r="D83" s="2074"/>
      <c r="E83" s="2074"/>
      <c r="F83" s="2074"/>
      <c r="G83" s="2074"/>
      <c r="H83" s="2074"/>
      <c r="I83" s="2074"/>
      <c r="J83" s="2074"/>
      <c r="K83" s="2074"/>
      <c r="L83" s="2074"/>
      <c r="M83" s="2074"/>
      <c r="N83" s="2074"/>
      <c r="O83" s="2074"/>
      <c r="P83" s="2074"/>
      <c r="Q83" s="2074"/>
      <c r="R83" s="2074"/>
      <c r="S83" s="2074"/>
      <c r="T83" s="2074"/>
      <c r="U83" s="2074"/>
      <c r="V83" s="2074"/>
      <c r="W83" s="2074"/>
      <c r="X83" s="2074"/>
      <c r="Y83" s="2074"/>
      <c r="Z83" s="2074"/>
      <c r="AA83" s="2074"/>
      <c r="AB83" s="2074"/>
      <c r="AC83" s="2074"/>
      <c r="AD83" s="2074"/>
      <c r="AE83" s="2074"/>
      <c r="AF83" s="2074"/>
      <c r="AG83" s="2074"/>
      <c r="AH83" s="2075"/>
      <c r="AI83" s="1190"/>
      <c r="AJ83" s="2091" t="s">
        <v>2383</v>
      </c>
      <c r="AK83" s="2092"/>
      <c r="AL83" s="2092"/>
      <c r="AM83" s="2092"/>
      <c r="AN83" s="2092"/>
      <c r="AO83" s="2092"/>
      <c r="AP83" s="2092"/>
      <c r="AQ83" s="2092"/>
      <c r="AR83" s="2092"/>
      <c r="AS83" s="2092"/>
      <c r="AT83" s="2092"/>
      <c r="AU83" s="2092"/>
      <c r="AV83" s="2092"/>
      <c r="AW83" s="2092"/>
      <c r="AX83" s="2092"/>
      <c r="AY83" s="2095" t="s">
        <v>546</v>
      </c>
      <c r="AZ83" s="2095"/>
      <c r="BA83" s="2095"/>
      <c r="BB83" s="2096"/>
      <c r="BC83" s="1190"/>
      <c r="BD83" s="1190"/>
      <c r="BE83" s="1194"/>
      <c r="CK83" s="1188"/>
      <c r="CL83" s="1188"/>
      <c r="CM83" s="1188"/>
      <c r="CN83" s="1188"/>
      <c r="CO83" s="1188"/>
      <c r="CP83" s="1188"/>
    </row>
    <row r="84" spans="1:94" ht="15.75" customHeight="1">
      <c r="A84" s="1190"/>
      <c r="B84" s="2012"/>
      <c r="C84" s="2013"/>
      <c r="D84" s="2013"/>
      <c r="E84" s="2013"/>
      <c r="F84" s="2013"/>
      <c r="G84" s="2013"/>
      <c r="H84" s="2013"/>
      <c r="I84" s="2013" t="s">
        <v>2373</v>
      </c>
      <c r="J84" s="2013"/>
      <c r="K84" s="2013"/>
      <c r="L84" s="2013"/>
      <c r="M84" s="2013"/>
      <c r="N84" s="2013"/>
      <c r="O84" s="2013" t="s">
        <v>2349</v>
      </c>
      <c r="P84" s="2013"/>
      <c r="Q84" s="2013"/>
      <c r="R84" s="2013"/>
      <c r="S84" s="2013"/>
      <c r="T84" s="2013"/>
      <c r="U84" s="2013"/>
      <c r="V84" s="2099" t="s">
        <v>2348</v>
      </c>
      <c r="W84" s="2099"/>
      <c r="X84" s="2099"/>
      <c r="Y84" s="2099"/>
      <c r="Z84" s="2099"/>
      <c r="AA84" s="2099"/>
      <c r="AB84" s="2100" t="s">
        <v>2372</v>
      </c>
      <c r="AC84" s="2100"/>
      <c r="AD84" s="2100"/>
      <c r="AE84" s="2100"/>
      <c r="AF84" s="2100"/>
      <c r="AG84" s="2100"/>
      <c r="AH84" s="2101"/>
      <c r="AI84" s="1190"/>
      <c r="AJ84" s="2093"/>
      <c r="AK84" s="2094"/>
      <c r="AL84" s="2094"/>
      <c r="AM84" s="2094"/>
      <c r="AN84" s="2094"/>
      <c r="AO84" s="2094"/>
      <c r="AP84" s="2094"/>
      <c r="AQ84" s="2094"/>
      <c r="AR84" s="2094"/>
      <c r="AS84" s="2094"/>
      <c r="AT84" s="2094"/>
      <c r="AU84" s="2094"/>
      <c r="AV84" s="2094"/>
      <c r="AW84" s="2094"/>
      <c r="AX84" s="2094"/>
      <c r="AY84" s="2097"/>
      <c r="AZ84" s="2097"/>
      <c r="BA84" s="2097"/>
      <c r="BB84" s="2098"/>
      <c r="BC84" s="1190"/>
      <c r="BD84" s="1190"/>
      <c r="BE84" s="1194"/>
      <c r="CK84" s="1188"/>
      <c r="CL84" s="1188"/>
      <c r="CM84" s="1188"/>
      <c r="CN84" s="1188"/>
      <c r="CO84" s="1188"/>
      <c r="CP84" s="1188"/>
    </row>
    <row r="85" spans="1:94" ht="15.75" customHeight="1">
      <c r="A85" s="1190"/>
      <c r="B85" s="2012"/>
      <c r="C85" s="2013"/>
      <c r="D85" s="2013"/>
      <c r="E85" s="2013"/>
      <c r="F85" s="2013"/>
      <c r="G85" s="2013"/>
      <c r="H85" s="2013"/>
      <c r="I85" s="2013"/>
      <c r="J85" s="2013"/>
      <c r="K85" s="2013"/>
      <c r="L85" s="2013"/>
      <c r="M85" s="2013"/>
      <c r="N85" s="2013"/>
      <c r="O85" s="2013"/>
      <c r="P85" s="2013"/>
      <c r="Q85" s="2013"/>
      <c r="R85" s="2013"/>
      <c r="S85" s="2013"/>
      <c r="T85" s="2013"/>
      <c r="U85" s="2013"/>
      <c r="V85" s="2099"/>
      <c r="W85" s="2099"/>
      <c r="X85" s="2099"/>
      <c r="Y85" s="2099"/>
      <c r="Z85" s="2099"/>
      <c r="AA85" s="2099"/>
      <c r="AB85" s="2100"/>
      <c r="AC85" s="2100"/>
      <c r="AD85" s="2100"/>
      <c r="AE85" s="2100"/>
      <c r="AF85" s="2100"/>
      <c r="AG85" s="2100"/>
      <c r="AH85" s="2101"/>
      <c r="AI85" s="1190"/>
      <c r="AJ85" s="2093"/>
      <c r="AK85" s="2094"/>
      <c r="AL85" s="2094"/>
      <c r="AM85" s="2094"/>
      <c r="AN85" s="2094"/>
      <c r="AO85" s="2094"/>
      <c r="AP85" s="2094"/>
      <c r="AQ85" s="2094"/>
      <c r="AR85" s="2094"/>
      <c r="AS85" s="2094"/>
      <c r="AT85" s="2094"/>
      <c r="AU85" s="2094"/>
      <c r="AV85" s="2094"/>
      <c r="AW85" s="2094"/>
      <c r="AX85" s="2094"/>
      <c r="AY85" s="2097"/>
      <c r="AZ85" s="2097"/>
      <c r="BA85" s="2097"/>
      <c r="BB85" s="2098"/>
      <c r="BC85" s="1190"/>
      <c r="BD85" s="1190"/>
      <c r="BE85" s="1194"/>
      <c r="CK85" s="1188"/>
      <c r="CL85" s="1188"/>
      <c r="CM85" s="1188"/>
      <c r="CN85" s="1188"/>
      <c r="CO85" s="1188"/>
      <c r="CP85" s="1188"/>
    </row>
    <row r="86" spans="1:94" ht="15.75" customHeight="1">
      <c r="A86" s="1190"/>
      <c r="B86" s="2012" t="s">
        <v>2371</v>
      </c>
      <c r="C86" s="2013"/>
      <c r="D86" s="2013"/>
      <c r="E86" s="2013"/>
      <c r="F86" s="2013"/>
      <c r="G86" s="2013"/>
      <c r="H86" s="2013"/>
      <c r="I86" s="2089">
        <v>0</v>
      </c>
      <c r="J86" s="2089"/>
      <c r="K86" s="2089"/>
      <c r="L86" s="2089"/>
      <c r="M86" s="2089"/>
      <c r="N86" s="2089"/>
      <c r="O86" s="2089">
        <v>0</v>
      </c>
      <c r="P86" s="2089"/>
      <c r="Q86" s="2089"/>
      <c r="R86" s="2089"/>
      <c r="S86" s="2089"/>
      <c r="T86" s="2089"/>
      <c r="U86" s="2089"/>
      <c r="V86" s="2089">
        <v>0</v>
      </c>
      <c r="W86" s="2089"/>
      <c r="X86" s="2089"/>
      <c r="Y86" s="2089"/>
      <c r="Z86" s="2089"/>
      <c r="AA86" s="2089"/>
      <c r="AB86" s="2089">
        <v>0</v>
      </c>
      <c r="AC86" s="2089"/>
      <c r="AD86" s="2089"/>
      <c r="AE86" s="2089"/>
      <c r="AF86" s="2089"/>
      <c r="AG86" s="2089"/>
      <c r="AH86" s="2090"/>
      <c r="AI86" s="1190"/>
      <c r="AJ86" s="2093"/>
      <c r="AK86" s="2094"/>
      <c r="AL86" s="2094"/>
      <c r="AM86" s="2094"/>
      <c r="AN86" s="2094"/>
      <c r="AO86" s="2094"/>
      <c r="AP86" s="2094"/>
      <c r="AQ86" s="2094"/>
      <c r="AR86" s="2094"/>
      <c r="AS86" s="2094"/>
      <c r="AT86" s="2094"/>
      <c r="AU86" s="2094"/>
      <c r="AV86" s="2094"/>
      <c r="AW86" s="2094"/>
      <c r="AX86" s="2094"/>
      <c r="AY86" s="2097"/>
      <c r="AZ86" s="2097"/>
      <c r="BA86" s="2097"/>
      <c r="BB86" s="2098"/>
      <c r="BC86" s="1190"/>
      <c r="BD86" s="1190"/>
      <c r="BE86" s="1194"/>
      <c r="CK86" s="1188"/>
      <c r="CL86" s="1188"/>
      <c r="CM86" s="1188"/>
      <c r="CN86" s="1188"/>
      <c r="CO86" s="1188"/>
      <c r="CP86" s="1188"/>
    </row>
    <row r="87" spans="1:94" ht="15.75" customHeight="1">
      <c r="A87" s="1190"/>
      <c r="B87" s="2012" t="s">
        <v>2370</v>
      </c>
      <c r="C87" s="2013"/>
      <c r="D87" s="2013"/>
      <c r="E87" s="2013"/>
      <c r="F87" s="2013"/>
      <c r="G87" s="2013"/>
      <c r="H87" s="2013"/>
      <c r="I87" s="2089">
        <v>0</v>
      </c>
      <c r="J87" s="2089"/>
      <c r="K87" s="2089"/>
      <c r="L87" s="2089"/>
      <c r="M87" s="2089"/>
      <c r="N87" s="2089"/>
      <c r="O87" s="2089">
        <v>0</v>
      </c>
      <c r="P87" s="2089"/>
      <c r="Q87" s="2089"/>
      <c r="R87" s="2089"/>
      <c r="S87" s="2089"/>
      <c r="T87" s="2089"/>
      <c r="U87" s="2089"/>
      <c r="V87" s="2089">
        <v>0</v>
      </c>
      <c r="W87" s="2089"/>
      <c r="X87" s="2089"/>
      <c r="Y87" s="2089"/>
      <c r="Z87" s="2089"/>
      <c r="AA87" s="2089"/>
      <c r="AB87" s="2089">
        <v>0</v>
      </c>
      <c r="AC87" s="2089"/>
      <c r="AD87" s="2089"/>
      <c r="AE87" s="2089"/>
      <c r="AF87" s="2089"/>
      <c r="AG87" s="2089"/>
      <c r="AH87" s="2090"/>
      <c r="AI87" s="1190"/>
      <c r="AJ87" s="2078" t="s">
        <v>2377</v>
      </c>
      <c r="AK87" s="2079"/>
      <c r="AL87" s="2079"/>
      <c r="AM87" s="2079"/>
      <c r="AN87" s="2079"/>
      <c r="AO87" s="2079"/>
      <c r="AP87" s="2079"/>
      <c r="AQ87" s="2079"/>
      <c r="AR87" s="2079"/>
      <c r="AS87" s="2079"/>
      <c r="AT87" s="2079"/>
      <c r="AU87" s="2079"/>
      <c r="AV87" s="2079"/>
      <c r="AW87" s="2079"/>
      <c r="AX87" s="2079"/>
      <c r="AY87" s="2079"/>
      <c r="AZ87" s="2079"/>
      <c r="BA87" s="2079"/>
      <c r="BB87" s="2080"/>
      <c r="BC87" s="1190"/>
      <c r="BD87" s="1190"/>
      <c r="BE87" s="1194"/>
      <c r="CK87" s="1188"/>
      <c r="CL87" s="1188"/>
      <c r="CM87" s="1188"/>
      <c r="CN87" s="1188"/>
      <c r="CO87" s="1188"/>
      <c r="CP87" s="1188"/>
    </row>
    <row r="88" spans="1:94" ht="15.75" customHeight="1" thickBot="1">
      <c r="A88" s="1190"/>
      <c r="B88" s="2030" t="s">
        <v>2369</v>
      </c>
      <c r="C88" s="2031"/>
      <c r="D88" s="2031"/>
      <c r="E88" s="2031"/>
      <c r="F88" s="2031"/>
      <c r="G88" s="2031"/>
      <c r="H88" s="2031"/>
      <c r="I88" s="2104">
        <v>0</v>
      </c>
      <c r="J88" s="2104"/>
      <c r="K88" s="2104"/>
      <c r="L88" s="2104"/>
      <c r="M88" s="2104"/>
      <c r="N88" s="2104"/>
      <c r="O88" s="2104">
        <v>0</v>
      </c>
      <c r="P88" s="2104"/>
      <c r="Q88" s="2104"/>
      <c r="R88" s="2104"/>
      <c r="S88" s="2104"/>
      <c r="T88" s="2104"/>
      <c r="U88" s="2104"/>
      <c r="V88" s="2104">
        <v>0</v>
      </c>
      <c r="W88" s="2104"/>
      <c r="X88" s="2104"/>
      <c r="Y88" s="2104"/>
      <c r="Z88" s="2104"/>
      <c r="AA88" s="2104"/>
      <c r="AB88" s="2104">
        <v>0</v>
      </c>
      <c r="AC88" s="2104"/>
      <c r="AD88" s="2104"/>
      <c r="AE88" s="2104"/>
      <c r="AF88" s="2104"/>
      <c r="AG88" s="2104"/>
      <c r="AH88" s="2105"/>
      <c r="AI88" s="1190"/>
      <c r="AJ88" s="2081"/>
      <c r="AK88" s="2082"/>
      <c r="AL88" s="2082"/>
      <c r="AM88" s="2082"/>
      <c r="AN88" s="2082"/>
      <c r="AO88" s="2082"/>
      <c r="AP88" s="2082"/>
      <c r="AQ88" s="2082"/>
      <c r="AR88" s="2082"/>
      <c r="AS88" s="2082"/>
      <c r="AT88" s="2082"/>
      <c r="AU88" s="2082"/>
      <c r="AV88" s="2082"/>
      <c r="AW88" s="2082"/>
      <c r="AX88" s="2082"/>
      <c r="AY88" s="2082"/>
      <c r="AZ88" s="2082"/>
      <c r="BA88" s="2082"/>
      <c r="BB88" s="208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60"/>
      <c r="G92" s="2061"/>
      <c r="H92" s="2061"/>
      <c r="I92" s="2061"/>
      <c r="J92" s="2061"/>
      <c r="K92" s="2061"/>
      <c r="L92" s="2061"/>
      <c r="M92" s="2061"/>
      <c r="N92" s="2061"/>
      <c r="O92" s="2061"/>
      <c r="P92" s="2061"/>
      <c r="Q92" s="2061"/>
      <c r="R92" s="2061"/>
      <c r="S92" s="2061"/>
      <c r="T92" s="206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3" t="s">
        <v>2381</v>
      </c>
      <c r="C93" s="2064"/>
      <c r="D93" s="2064"/>
      <c r="E93" s="2064"/>
      <c r="F93" s="2064"/>
      <c r="G93" s="2064"/>
      <c r="H93" s="2064"/>
      <c r="I93" s="2064"/>
      <c r="J93" s="2064"/>
      <c r="K93" s="2064"/>
      <c r="L93" s="2064"/>
      <c r="M93" s="2064"/>
      <c r="N93" s="2064"/>
      <c r="O93" s="2064"/>
      <c r="P93" s="2064"/>
      <c r="Q93" s="2102"/>
      <c r="R93" s="2065" t="str">
        <f>IFERROR(INDEX(BR96:BR98,MATCH(F92,$BQ$96:$BQ$98,0))/SUM($BR$96:$BR$98),"")</f>
        <v/>
      </c>
      <c r="S93" s="2066"/>
      <c r="T93" s="206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8" t="s">
        <v>2380</v>
      </c>
      <c r="C94" s="2069"/>
      <c r="D94" s="2069"/>
      <c r="E94" s="2069"/>
      <c r="F94" s="2069"/>
      <c r="G94" s="2069"/>
      <c r="H94" s="2069"/>
      <c r="I94" s="2069"/>
      <c r="J94" s="2069"/>
      <c r="K94" s="2069"/>
      <c r="L94" s="2069"/>
      <c r="M94" s="2069"/>
      <c r="N94" s="2069"/>
      <c r="O94" s="2069"/>
      <c r="P94" s="2069"/>
      <c r="Q94" s="2103"/>
      <c r="R94" s="2070" t="s">
        <v>2190</v>
      </c>
      <c r="S94" s="2071"/>
      <c r="T94" s="207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3" t="s">
        <v>2379</v>
      </c>
      <c r="C96" s="2074"/>
      <c r="D96" s="2074"/>
      <c r="E96" s="2074"/>
      <c r="F96" s="2074"/>
      <c r="G96" s="2074"/>
      <c r="H96" s="2074"/>
      <c r="I96" s="2074"/>
      <c r="J96" s="2074"/>
      <c r="K96" s="2074"/>
      <c r="L96" s="2074"/>
      <c r="M96" s="2074"/>
      <c r="N96" s="2074"/>
      <c r="O96" s="2074"/>
      <c r="P96" s="2074"/>
      <c r="Q96" s="2074"/>
      <c r="R96" s="2074"/>
      <c r="S96" s="2074"/>
      <c r="T96" s="2074"/>
      <c r="U96" s="2074"/>
      <c r="V96" s="2074"/>
      <c r="W96" s="2074"/>
      <c r="X96" s="2074"/>
      <c r="Y96" s="2074"/>
      <c r="Z96" s="2074"/>
      <c r="AA96" s="2074"/>
      <c r="AB96" s="2074"/>
      <c r="AC96" s="2074"/>
      <c r="AD96" s="2074"/>
      <c r="AE96" s="2074"/>
      <c r="AF96" s="2074"/>
      <c r="AG96" s="2074"/>
      <c r="AH96" s="2075"/>
      <c r="AI96" s="1190"/>
      <c r="AJ96" s="2091" t="s">
        <v>2378</v>
      </c>
      <c r="AK96" s="2092"/>
      <c r="AL96" s="2092"/>
      <c r="AM96" s="2092"/>
      <c r="AN96" s="2092"/>
      <c r="AO96" s="2092"/>
      <c r="AP96" s="2092"/>
      <c r="AQ96" s="2092"/>
      <c r="AR96" s="2092"/>
      <c r="AS96" s="2092"/>
      <c r="AT96" s="2092"/>
      <c r="AU96" s="2092"/>
      <c r="AV96" s="2092"/>
      <c r="AW96" s="2092"/>
      <c r="AX96" s="2092"/>
      <c r="AY96" s="2095" t="s">
        <v>546</v>
      </c>
      <c r="AZ96" s="2095"/>
      <c r="BA96" s="2095"/>
      <c r="BB96" s="2096"/>
      <c r="BC96" s="1190"/>
      <c r="BD96" s="1190"/>
      <c r="BE96" s="1194"/>
      <c r="BQ96" s="1256" t="str">
        <f>Application!M243&amp;IF(TRIM(Application!AA249)&lt;&gt;""," ("&amp;Application!AA249&amp;")","")</f>
        <v>Southern California Housing Collaborative</v>
      </c>
      <c r="BR96" s="1259">
        <f>Application!AH246</f>
        <v>1E-3</v>
      </c>
      <c r="CM96" s="1188"/>
      <c r="CN96" s="1188"/>
      <c r="CO96" s="1188"/>
      <c r="CP96" s="1188"/>
    </row>
    <row r="97" spans="1:94" ht="15.75" customHeight="1">
      <c r="A97" s="1190"/>
      <c r="B97" s="2012"/>
      <c r="C97" s="2013"/>
      <c r="D97" s="2013"/>
      <c r="E97" s="2013"/>
      <c r="F97" s="2013"/>
      <c r="G97" s="2013"/>
      <c r="H97" s="2013"/>
      <c r="I97" s="2013" t="s">
        <v>2373</v>
      </c>
      <c r="J97" s="2013"/>
      <c r="K97" s="2013"/>
      <c r="L97" s="2013"/>
      <c r="M97" s="2013"/>
      <c r="N97" s="2013"/>
      <c r="O97" s="2013" t="s">
        <v>2349</v>
      </c>
      <c r="P97" s="2013"/>
      <c r="Q97" s="2013"/>
      <c r="R97" s="2013"/>
      <c r="S97" s="2013"/>
      <c r="T97" s="2013"/>
      <c r="U97" s="2013"/>
      <c r="V97" s="2099" t="s">
        <v>2348</v>
      </c>
      <c r="W97" s="2099"/>
      <c r="X97" s="2099"/>
      <c r="Y97" s="2099"/>
      <c r="Z97" s="2099"/>
      <c r="AA97" s="2099"/>
      <c r="AB97" s="2100" t="s">
        <v>2372</v>
      </c>
      <c r="AC97" s="2100"/>
      <c r="AD97" s="2100"/>
      <c r="AE97" s="2100"/>
      <c r="AF97" s="2100"/>
      <c r="AG97" s="2100"/>
      <c r="AH97" s="2101"/>
      <c r="AI97" s="1190"/>
      <c r="AJ97" s="2093"/>
      <c r="AK97" s="2094"/>
      <c r="AL97" s="2094"/>
      <c r="AM97" s="2094"/>
      <c r="AN97" s="2094"/>
      <c r="AO97" s="2094"/>
      <c r="AP97" s="2094"/>
      <c r="AQ97" s="2094"/>
      <c r="AR97" s="2094"/>
      <c r="AS97" s="2094"/>
      <c r="AT97" s="2094"/>
      <c r="AU97" s="2094"/>
      <c r="AV97" s="2094"/>
      <c r="AW97" s="2094"/>
      <c r="AX97" s="2094"/>
      <c r="AY97" s="2097"/>
      <c r="AZ97" s="2097"/>
      <c r="BA97" s="2097"/>
      <c r="BB97" s="2098"/>
      <c r="BC97" s="1190"/>
      <c r="BD97" s="1190"/>
      <c r="BE97" s="1194"/>
      <c r="BQ97" s="1256" t="str">
        <f>Application!M251&amp;IF(TRIM(Application!AA257)&lt;&gt;""," ("&amp;Application!AA257&amp;")","")</f>
        <v>CIC Mira Mesa, LLC (Chelsea Investment Corporation)</v>
      </c>
      <c r="BR97" s="1259">
        <f>Application!AH254</f>
        <v>0.03</v>
      </c>
      <c r="CM97" s="1188"/>
      <c r="CN97" s="1188"/>
      <c r="CO97" s="1188"/>
      <c r="CP97" s="1188"/>
    </row>
    <row r="98" spans="1:94" ht="15.75" customHeight="1">
      <c r="A98" s="1190"/>
      <c r="B98" s="2012"/>
      <c r="C98" s="2013"/>
      <c r="D98" s="2013"/>
      <c r="E98" s="2013"/>
      <c r="F98" s="2013"/>
      <c r="G98" s="2013"/>
      <c r="H98" s="2013"/>
      <c r="I98" s="2013"/>
      <c r="J98" s="2013"/>
      <c r="K98" s="2013"/>
      <c r="L98" s="2013"/>
      <c r="M98" s="2013"/>
      <c r="N98" s="2013"/>
      <c r="O98" s="2013"/>
      <c r="P98" s="2013"/>
      <c r="Q98" s="2013"/>
      <c r="R98" s="2013"/>
      <c r="S98" s="2013"/>
      <c r="T98" s="2013"/>
      <c r="U98" s="2013"/>
      <c r="V98" s="2099"/>
      <c r="W98" s="2099"/>
      <c r="X98" s="2099"/>
      <c r="Y98" s="2099"/>
      <c r="Z98" s="2099"/>
      <c r="AA98" s="2099"/>
      <c r="AB98" s="2100"/>
      <c r="AC98" s="2100"/>
      <c r="AD98" s="2100"/>
      <c r="AE98" s="2100"/>
      <c r="AF98" s="2100"/>
      <c r="AG98" s="2100"/>
      <c r="AH98" s="2101"/>
      <c r="AI98" s="1190"/>
      <c r="AJ98" s="2093"/>
      <c r="AK98" s="2094"/>
      <c r="AL98" s="2094"/>
      <c r="AM98" s="2094"/>
      <c r="AN98" s="2094"/>
      <c r="AO98" s="2094"/>
      <c r="AP98" s="2094"/>
      <c r="AQ98" s="2094"/>
      <c r="AR98" s="2094"/>
      <c r="AS98" s="2094"/>
      <c r="AT98" s="2094"/>
      <c r="AU98" s="2094"/>
      <c r="AV98" s="2094"/>
      <c r="AW98" s="2094"/>
      <c r="AX98" s="2094"/>
      <c r="AY98" s="2097"/>
      <c r="AZ98" s="2097"/>
      <c r="BA98" s="2097"/>
      <c r="BB98" s="2098"/>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012" t="s">
        <v>2371</v>
      </c>
      <c r="C99" s="2013"/>
      <c r="D99" s="2013"/>
      <c r="E99" s="2013"/>
      <c r="F99" s="2013"/>
      <c r="G99" s="2013"/>
      <c r="H99" s="2013"/>
      <c r="I99" s="2089">
        <v>0</v>
      </c>
      <c r="J99" s="2089"/>
      <c r="K99" s="2089"/>
      <c r="L99" s="2089"/>
      <c r="M99" s="2089"/>
      <c r="N99" s="2089"/>
      <c r="O99" s="2089">
        <v>0</v>
      </c>
      <c r="P99" s="2089"/>
      <c r="Q99" s="2089"/>
      <c r="R99" s="2089"/>
      <c r="S99" s="2089"/>
      <c r="T99" s="2089"/>
      <c r="U99" s="2089"/>
      <c r="V99" s="2089">
        <v>0</v>
      </c>
      <c r="W99" s="2089"/>
      <c r="X99" s="2089"/>
      <c r="Y99" s="2089"/>
      <c r="Z99" s="2089"/>
      <c r="AA99" s="2089"/>
      <c r="AB99" s="2089">
        <v>0</v>
      </c>
      <c r="AC99" s="2089"/>
      <c r="AD99" s="2089"/>
      <c r="AE99" s="2089"/>
      <c r="AF99" s="2089"/>
      <c r="AG99" s="2089"/>
      <c r="AH99" s="2090"/>
      <c r="AI99" s="1190"/>
      <c r="AJ99" s="2093"/>
      <c r="AK99" s="2094"/>
      <c r="AL99" s="2094"/>
      <c r="AM99" s="2094"/>
      <c r="AN99" s="2094"/>
      <c r="AO99" s="2094"/>
      <c r="AP99" s="2094"/>
      <c r="AQ99" s="2094"/>
      <c r="AR99" s="2094"/>
      <c r="AS99" s="2094"/>
      <c r="AT99" s="2094"/>
      <c r="AU99" s="2094"/>
      <c r="AV99" s="2094"/>
      <c r="AW99" s="2094"/>
      <c r="AX99" s="2094"/>
      <c r="AY99" s="2097"/>
      <c r="AZ99" s="2097"/>
      <c r="BA99" s="2097"/>
      <c r="BB99" s="2098"/>
      <c r="BC99" s="1190"/>
      <c r="BD99" s="1190"/>
      <c r="BE99" s="1194"/>
      <c r="CM99" s="1188"/>
      <c r="CN99" s="1188"/>
      <c r="CO99" s="1188"/>
      <c r="CP99" s="1188"/>
    </row>
    <row r="100" spans="1:94" ht="15.75" customHeight="1">
      <c r="A100" s="1190"/>
      <c r="B100" s="2012" t="s">
        <v>2370</v>
      </c>
      <c r="C100" s="2013"/>
      <c r="D100" s="2013"/>
      <c r="E100" s="2013"/>
      <c r="F100" s="2013"/>
      <c r="G100" s="2013"/>
      <c r="H100" s="2013"/>
      <c r="I100" s="2089">
        <v>0</v>
      </c>
      <c r="J100" s="2089"/>
      <c r="K100" s="2089"/>
      <c r="L100" s="2089"/>
      <c r="M100" s="2089"/>
      <c r="N100" s="2089"/>
      <c r="O100" s="2089">
        <v>0</v>
      </c>
      <c r="P100" s="2089"/>
      <c r="Q100" s="2089"/>
      <c r="R100" s="2089"/>
      <c r="S100" s="2089"/>
      <c r="T100" s="2089"/>
      <c r="U100" s="2089"/>
      <c r="V100" s="2089">
        <v>0</v>
      </c>
      <c r="W100" s="2089"/>
      <c r="X100" s="2089"/>
      <c r="Y100" s="2089"/>
      <c r="Z100" s="2089"/>
      <c r="AA100" s="2089"/>
      <c r="AB100" s="2089">
        <v>0</v>
      </c>
      <c r="AC100" s="2089"/>
      <c r="AD100" s="2089"/>
      <c r="AE100" s="2089"/>
      <c r="AF100" s="2089"/>
      <c r="AG100" s="2089"/>
      <c r="AH100" s="2090"/>
      <c r="AI100" s="1190"/>
      <c r="AJ100" s="2078" t="s">
        <v>2377</v>
      </c>
      <c r="AK100" s="2079"/>
      <c r="AL100" s="2079"/>
      <c r="AM100" s="2079"/>
      <c r="AN100" s="2079"/>
      <c r="AO100" s="2079"/>
      <c r="AP100" s="2079"/>
      <c r="AQ100" s="2079"/>
      <c r="AR100" s="2079"/>
      <c r="AS100" s="2079"/>
      <c r="AT100" s="2079"/>
      <c r="AU100" s="2079"/>
      <c r="AV100" s="2079"/>
      <c r="AW100" s="2079"/>
      <c r="AX100" s="2079"/>
      <c r="AY100" s="2079"/>
      <c r="AZ100" s="2079"/>
      <c r="BA100" s="2079"/>
      <c r="BB100" s="2080"/>
      <c r="BC100" s="1190"/>
      <c r="BD100" s="1190"/>
      <c r="BE100" s="1194"/>
      <c r="CM100" s="1188"/>
      <c r="CN100" s="1188"/>
      <c r="CO100" s="1188"/>
      <c r="CP100" s="1188"/>
    </row>
    <row r="101" spans="1:94" ht="15.75" customHeight="1" thickBot="1">
      <c r="A101" s="1190"/>
      <c r="B101" s="2030" t="s">
        <v>2369</v>
      </c>
      <c r="C101" s="2031"/>
      <c r="D101" s="2031"/>
      <c r="E101" s="2031"/>
      <c r="F101" s="2031"/>
      <c r="G101" s="2031"/>
      <c r="H101" s="2031"/>
      <c r="I101" s="2104">
        <v>0</v>
      </c>
      <c r="J101" s="2104"/>
      <c r="K101" s="2104"/>
      <c r="L101" s="2104"/>
      <c r="M101" s="2104"/>
      <c r="N101" s="2104"/>
      <c r="O101" s="2104">
        <v>0</v>
      </c>
      <c r="P101" s="2104"/>
      <c r="Q101" s="2104"/>
      <c r="R101" s="2104"/>
      <c r="S101" s="2104"/>
      <c r="T101" s="2104"/>
      <c r="U101" s="2104"/>
      <c r="V101" s="2104">
        <v>0</v>
      </c>
      <c r="W101" s="2104"/>
      <c r="X101" s="2104"/>
      <c r="Y101" s="2104"/>
      <c r="Z101" s="2104"/>
      <c r="AA101" s="2104"/>
      <c r="AB101" s="2104">
        <v>0</v>
      </c>
      <c r="AC101" s="2104"/>
      <c r="AD101" s="2104"/>
      <c r="AE101" s="2104"/>
      <c r="AF101" s="2104"/>
      <c r="AG101" s="2104"/>
      <c r="AH101" s="2105"/>
      <c r="AI101" s="1190"/>
      <c r="AJ101" s="2081"/>
      <c r="AK101" s="2082"/>
      <c r="AL101" s="2082"/>
      <c r="AM101" s="2082"/>
      <c r="AN101" s="2082"/>
      <c r="AO101" s="2082"/>
      <c r="AP101" s="2082"/>
      <c r="AQ101" s="2082"/>
      <c r="AR101" s="2082"/>
      <c r="AS101" s="2082"/>
      <c r="AT101" s="2082"/>
      <c r="AU101" s="2082"/>
      <c r="AV101" s="2082"/>
      <c r="AW101" s="2082"/>
      <c r="AX101" s="2082"/>
      <c r="AY101" s="2082"/>
      <c r="AZ101" s="2082"/>
      <c r="BA101" s="2082"/>
      <c r="BB101" s="2083"/>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6"/>
      <c r="G104" s="2107"/>
      <c r="H104" s="2107"/>
      <c r="I104" s="2107"/>
      <c r="J104" s="2107"/>
      <c r="K104" s="2107"/>
      <c r="L104" s="2107"/>
      <c r="M104" s="2107"/>
      <c r="N104" s="2107"/>
      <c r="O104" s="2107"/>
      <c r="P104" s="2107"/>
      <c r="Q104" s="2107"/>
      <c r="R104" s="210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70" t="str">
        <f>IFERROR(INDEX(BR96:BR98,MATCH(F104,$BQ$96:$BQ$98,0))/SUM($BR$96:$BR$98),"")</f>
        <v/>
      </c>
      <c r="P105" s="2071"/>
      <c r="Q105" s="2071"/>
      <c r="R105" s="207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8" t="s">
        <v>2374</v>
      </c>
      <c r="C107" s="2059"/>
      <c r="D107" s="2059"/>
      <c r="E107" s="2059"/>
      <c r="F107" s="2059"/>
      <c r="G107" s="2059"/>
      <c r="H107" s="2059"/>
      <c r="I107" s="2059"/>
      <c r="J107" s="2059"/>
      <c r="K107" s="2059"/>
      <c r="L107" s="2059"/>
      <c r="M107" s="2059"/>
      <c r="N107" s="2059"/>
      <c r="O107" s="2059"/>
      <c r="P107" s="2059"/>
      <c r="Q107" s="2059"/>
      <c r="R107" s="2059"/>
      <c r="S107" s="2059"/>
      <c r="T107" s="2059"/>
      <c r="U107" s="2059"/>
      <c r="V107" s="2059"/>
      <c r="W107" s="2059"/>
      <c r="X107" s="2059"/>
      <c r="Y107" s="2059"/>
      <c r="Z107" s="2059"/>
      <c r="AA107" s="2059"/>
      <c r="AB107" s="2059"/>
      <c r="AC107" s="2059"/>
      <c r="AD107" s="2059"/>
      <c r="AE107" s="2059"/>
      <c r="AF107" s="2059"/>
      <c r="AG107" s="2059"/>
      <c r="AH107" s="210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2"/>
      <c r="C108" s="2013"/>
      <c r="D108" s="2013"/>
      <c r="E108" s="2013"/>
      <c r="F108" s="2013"/>
      <c r="G108" s="2013"/>
      <c r="H108" s="2013"/>
      <c r="I108" s="2013" t="s">
        <v>2373</v>
      </c>
      <c r="J108" s="2013"/>
      <c r="K108" s="2013"/>
      <c r="L108" s="2013"/>
      <c r="M108" s="2013"/>
      <c r="N108" s="2013"/>
      <c r="O108" s="2013" t="s">
        <v>2349</v>
      </c>
      <c r="P108" s="2013"/>
      <c r="Q108" s="2013"/>
      <c r="R108" s="2013"/>
      <c r="S108" s="2013"/>
      <c r="T108" s="2013"/>
      <c r="U108" s="2013"/>
      <c r="V108" s="2099" t="s">
        <v>2348</v>
      </c>
      <c r="W108" s="2099"/>
      <c r="X108" s="2099"/>
      <c r="Y108" s="2099"/>
      <c r="Z108" s="2099"/>
      <c r="AA108" s="2099"/>
      <c r="AB108" s="2100" t="s">
        <v>2372</v>
      </c>
      <c r="AC108" s="2100"/>
      <c r="AD108" s="2100"/>
      <c r="AE108" s="2100"/>
      <c r="AF108" s="2100"/>
      <c r="AG108" s="2100"/>
      <c r="AH108" s="210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2"/>
      <c r="C109" s="2013"/>
      <c r="D109" s="2013"/>
      <c r="E109" s="2013"/>
      <c r="F109" s="2013"/>
      <c r="G109" s="2013"/>
      <c r="H109" s="2013"/>
      <c r="I109" s="2013"/>
      <c r="J109" s="2013"/>
      <c r="K109" s="2013"/>
      <c r="L109" s="2013"/>
      <c r="M109" s="2013"/>
      <c r="N109" s="2013"/>
      <c r="O109" s="2013"/>
      <c r="P109" s="2013"/>
      <c r="Q109" s="2013"/>
      <c r="R109" s="2013"/>
      <c r="S109" s="2013"/>
      <c r="T109" s="2013"/>
      <c r="U109" s="2013"/>
      <c r="V109" s="2099"/>
      <c r="W109" s="2099"/>
      <c r="X109" s="2099"/>
      <c r="Y109" s="2099"/>
      <c r="Z109" s="2099"/>
      <c r="AA109" s="2099"/>
      <c r="AB109" s="2100"/>
      <c r="AC109" s="2100"/>
      <c r="AD109" s="2100"/>
      <c r="AE109" s="2100"/>
      <c r="AF109" s="2100"/>
      <c r="AG109" s="2100"/>
      <c r="AH109" s="210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2" t="s">
        <v>2371</v>
      </c>
      <c r="C110" s="2013"/>
      <c r="D110" s="2013"/>
      <c r="E110" s="2013"/>
      <c r="F110" s="2013"/>
      <c r="G110" s="2013"/>
      <c r="H110" s="2013"/>
      <c r="I110" s="2089">
        <v>0</v>
      </c>
      <c r="J110" s="2089"/>
      <c r="K110" s="2089"/>
      <c r="L110" s="2089"/>
      <c r="M110" s="2089"/>
      <c r="N110" s="2089"/>
      <c r="O110" s="2089">
        <v>0</v>
      </c>
      <c r="P110" s="2089"/>
      <c r="Q110" s="2089"/>
      <c r="R110" s="2089"/>
      <c r="S110" s="2089"/>
      <c r="T110" s="2089"/>
      <c r="U110" s="2089"/>
      <c r="V110" s="2089">
        <v>0</v>
      </c>
      <c r="W110" s="2089"/>
      <c r="X110" s="2089"/>
      <c r="Y110" s="2089"/>
      <c r="Z110" s="2089"/>
      <c r="AA110" s="2089"/>
      <c r="AB110" s="2089">
        <v>0</v>
      </c>
      <c r="AC110" s="2089"/>
      <c r="AD110" s="2089"/>
      <c r="AE110" s="2089"/>
      <c r="AF110" s="2089"/>
      <c r="AG110" s="2089"/>
      <c r="AH110" s="209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2" t="s">
        <v>2370</v>
      </c>
      <c r="C111" s="2013"/>
      <c r="D111" s="2013"/>
      <c r="E111" s="2013"/>
      <c r="F111" s="2013"/>
      <c r="G111" s="2013"/>
      <c r="H111" s="2013"/>
      <c r="I111" s="2089">
        <v>0</v>
      </c>
      <c r="J111" s="2089"/>
      <c r="K111" s="2089"/>
      <c r="L111" s="2089"/>
      <c r="M111" s="2089"/>
      <c r="N111" s="2089"/>
      <c r="O111" s="2089">
        <v>0</v>
      </c>
      <c r="P111" s="2089"/>
      <c r="Q111" s="2089"/>
      <c r="R111" s="2089"/>
      <c r="S111" s="2089"/>
      <c r="T111" s="2089"/>
      <c r="U111" s="2089"/>
      <c r="V111" s="2089">
        <v>0</v>
      </c>
      <c r="W111" s="2089"/>
      <c r="X111" s="2089"/>
      <c r="Y111" s="2089"/>
      <c r="Z111" s="2089"/>
      <c r="AA111" s="2089"/>
      <c r="AB111" s="2089">
        <v>0</v>
      </c>
      <c r="AC111" s="2089"/>
      <c r="AD111" s="2089"/>
      <c r="AE111" s="2089"/>
      <c r="AF111" s="2089"/>
      <c r="AG111" s="2089"/>
      <c r="AH111" s="209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0" t="s">
        <v>2369</v>
      </c>
      <c r="C112" s="2031"/>
      <c r="D112" s="2031"/>
      <c r="E112" s="2031"/>
      <c r="F112" s="2031"/>
      <c r="G112" s="2031"/>
      <c r="H112" s="2031"/>
      <c r="I112" s="2104">
        <v>0</v>
      </c>
      <c r="J112" s="2104"/>
      <c r="K112" s="2104"/>
      <c r="L112" s="2104"/>
      <c r="M112" s="2104"/>
      <c r="N112" s="2104"/>
      <c r="O112" s="2104">
        <v>0</v>
      </c>
      <c r="P112" s="2104"/>
      <c r="Q112" s="2104"/>
      <c r="R112" s="2104"/>
      <c r="S112" s="2104"/>
      <c r="T112" s="2104"/>
      <c r="U112" s="2104"/>
      <c r="V112" s="2104">
        <v>0</v>
      </c>
      <c r="W112" s="2104"/>
      <c r="X112" s="2104"/>
      <c r="Y112" s="2104"/>
      <c r="Z112" s="2104"/>
      <c r="AA112" s="2104"/>
      <c r="AB112" s="2104">
        <v>0</v>
      </c>
      <c r="AC112" s="2104"/>
      <c r="AD112" s="2104"/>
      <c r="AE112" s="2104"/>
      <c r="AF112" s="2104"/>
      <c r="AG112" s="2104"/>
      <c r="AH112" s="210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6"/>
      <c r="G115" s="2107"/>
      <c r="H115" s="2107"/>
      <c r="I115" s="2107"/>
      <c r="J115" s="2107"/>
      <c r="K115" s="2107"/>
      <c r="L115" s="2107"/>
      <c r="M115" s="2107"/>
      <c r="N115" s="2107"/>
      <c r="O115" s="2107"/>
      <c r="P115" s="2107"/>
      <c r="Q115" s="2107"/>
      <c r="R115" s="210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8" t="s">
        <v>2367</v>
      </c>
      <c r="C117" s="2119"/>
      <c r="D117" s="2119"/>
      <c r="E117" s="2119"/>
      <c r="F117" s="2119"/>
      <c r="G117" s="2119"/>
      <c r="H117" s="2119"/>
      <c r="I117" s="2119"/>
      <c r="J117" s="2119"/>
      <c r="K117" s="2119"/>
      <c r="L117" s="2119"/>
      <c r="M117" s="2119"/>
      <c r="N117" s="2119"/>
      <c r="O117" s="2119"/>
      <c r="P117" s="2119"/>
      <c r="Q117" s="2119"/>
      <c r="R117" s="2119"/>
      <c r="S117" s="2119"/>
      <c r="T117" s="2119"/>
      <c r="U117" s="2122" t="s">
        <v>546</v>
      </c>
      <c r="V117" s="2122"/>
      <c r="W117" s="2122"/>
      <c r="X117" s="212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0"/>
      <c r="C118" s="2121"/>
      <c r="D118" s="2121"/>
      <c r="E118" s="2121"/>
      <c r="F118" s="2121"/>
      <c r="G118" s="2121"/>
      <c r="H118" s="2121"/>
      <c r="I118" s="2121"/>
      <c r="J118" s="2121"/>
      <c r="K118" s="2121"/>
      <c r="L118" s="2121"/>
      <c r="M118" s="2121"/>
      <c r="N118" s="2121"/>
      <c r="O118" s="2121"/>
      <c r="P118" s="2121"/>
      <c r="Q118" s="2121"/>
      <c r="R118" s="2121"/>
      <c r="S118" s="2121"/>
      <c r="T118" s="2121"/>
      <c r="U118" s="2124"/>
      <c r="V118" s="2124"/>
      <c r="W118" s="2124"/>
      <c r="X118" s="212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0"/>
      <c r="C119" s="2121"/>
      <c r="D119" s="2121"/>
      <c r="E119" s="2121"/>
      <c r="F119" s="2121"/>
      <c r="G119" s="2121"/>
      <c r="H119" s="2121"/>
      <c r="I119" s="2121"/>
      <c r="J119" s="2121"/>
      <c r="K119" s="2121"/>
      <c r="L119" s="2121"/>
      <c r="M119" s="2121"/>
      <c r="N119" s="2121"/>
      <c r="O119" s="2121"/>
      <c r="P119" s="2121"/>
      <c r="Q119" s="2121"/>
      <c r="R119" s="2121"/>
      <c r="S119" s="2121"/>
      <c r="T119" s="2121"/>
      <c r="U119" s="2124"/>
      <c r="V119" s="2124"/>
      <c r="W119" s="2124"/>
      <c r="X119" s="212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0"/>
      <c r="C120" s="2121"/>
      <c r="D120" s="2121"/>
      <c r="E120" s="2121"/>
      <c r="F120" s="2121"/>
      <c r="G120" s="2121"/>
      <c r="H120" s="2121"/>
      <c r="I120" s="2121"/>
      <c r="J120" s="2121"/>
      <c r="K120" s="2121"/>
      <c r="L120" s="2121"/>
      <c r="M120" s="2121"/>
      <c r="N120" s="2121"/>
      <c r="O120" s="2121"/>
      <c r="P120" s="2121"/>
      <c r="Q120" s="2121"/>
      <c r="R120" s="2121"/>
      <c r="S120" s="2121"/>
      <c r="T120" s="2121"/>
      <c r="U120" s="2124"/>
      <c r="V120" s="2124"/>
      <c r="W120" s="2124"/>
      <c r="X120" s="212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6" t="s">
        <v>2367</v>
      </c>
      <c r="C121" s="2127"/>
      <c r="D121" s="2127"/>
      <c r="E121" s="2127"/>
      <c r="F121" s="2127"/>
      <c r="G121" s="2127"/>
      <c r="H121" s="2127"/>
      <c r="I121" s="2127"/>
      <c r="J121" s="2127"/>
      <c r="K121" s="2127"/>
      <c r="L121" s="2127"/>
      <c r="M121" s="2127"/>
      <c r="N121" s="2127"/>
      <c r="O121" s="2127"/>
      <c r="P121" s="2127"/>
      <c r="Q121" s="2127"/>
      <c r="R121" s="2127"/>
      <c r="S121" s="2127"/>
      <c r="T121" s="2127"/>
      <c r="U121" s="2130" t="s">
        <v>546</v>
      </c>
      <c r="V121" s="2130"/>
      <c r="W121" s="2130"/>
      <c r="X121" s="213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8"/>
      <c r="C122" s="2129"/>
      <c r="D122" s="2129"/>
      <c r="E122" s="2129"/>
      <c r="F122" s="2129"/>
      <c r="G122" s="2129"/>
      <c r="H122" s="2129"/>
      <c r="I122" s="2129"/>
      <c r="J122" s="2129"/>
      <c r="K122" s="2129"/>
      <c r="L122" s="2129"/>
      <c r="M122" s="2129"/>
      <c r="N122" s="2129"/>
      <c r="O122" s="2129"/>
      <c r="P122" s="2129"/>
      <c r="Q122" s="2129"/>
      <c r="R122" s="2129"/>
      <c r="S122" s="2129"/>
      <c r="T122" s="2129"/>
      <c r="U122" s="2132"/>
      <c r="V122" s="2132"/>
      <c r="W122" s="2132"/>
      <c r="X122" s="213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1" t="s">
        <v>2365</v>
      </c>
      <c r="Y125" s="2092"/>
      <c r="Z125" s="2092"/>
      <c r="AA125" s="2092"/>
      <c r="AB125" s="2092"/>
      <c r="AC125" s="2092"/>
      <c r="AD125" s="2092"/>
      <c r="AE125" s="2092"/>
      <c r="AF125" s="2092"/>
      <c r="AG125" s="2092"/>
      <c r="AH125" s="2092"/>
      <c r="AI125" s="2092"/>
      <c r="AJ125" s="2092"/>
      <c r="AK125" s="2092"/>
      <c r="AL125" s="2092"/>
      <c r="AM125" s="2092"/>
      <c r="AN125" s="2092"/>
      <c r="AO125" s="2092"/>
      <c r="AP125" s="2092"/>
      <c r="AQ125" s="2092"/>
      <c r="AR125" s="2092"/>
      <c r="AS125" s="2092"/>
      <c r="AT125" s="2092"/>
      <c r="AU125" s="2092"/>
      <c r="AV125" s="2092"/>
      <c r="AW125" s="2092"/>
      <c r="AX125" s="2092"/>
      <c r="AY125" s="2092"/>
      <c r="AZ125" s="2092"/>
      <c r="BA125" s="2092"/>
      <c r="BB125" s="2092"/>
      <c r="BC125" s="2092"/>
      <c r="BD125" s="2134"/>
      <c r="BE125" s="1194"/>
    </row>
    <row r="126" spans="1:57" ht="15.75" customHeight="1">
      <c r="A126" s="1190"/>
      <c r="B126" s="2136" t="s">
        <v>1577</v>
      </c>
      <c r="C126" s="2137"/>
      <c r="D126" s="2137"/>
      <c r="E126" s="2137"/>
      <c r="F126" s="2137"/>
      <c r="G126" s="2137"/>
      <c r="H126" s="2137"/>
      <c r="I126" s="2137"/>
      <c r="J126" s="2137"/>
      <c r="K126" s="2137"/>
      <c r="L126" s="2137"/>
      <c r="M126" s="2137"/>
      <c r="N126" s="2137"/>
      <c r="O126" s="2137"/>
      <c r="P126" s="2137"/>
      <c r="Q126" s="2137"/>
      <c r="R126" s="2137"/>
      <c r="S126" s="2137"/>
      <c r="T126" s="2137"/>
      <c r="U126" s="2138"/>
      <c r="V126" s="1190"/>
      <c r="W126" s="1190"/>
      <c r="X126" s="2093"/>
      <c r="Y126" s="2094"/>
      <c r="Z126" s="2094"/>
      <c r="AA126" s="2094"/>
      <c r="AB126" s="2094"/>
      <c r="AC126" s="2094"/>
      <c r="AD126" s="2094"/>
      <c r="AE126" s="2094"/>
      <c r="AF126" s="2094"/>
      <c r="AG126" s="2094"/>
      <c r="AH126" s="2094"/>
      <c r="AI126" s="2094"/>
      <c r="AJ126" s="2094"/>
      <c r="AK126" s="2094"/>
      <c r="AL126" s="2094"/>
      <c r="AM126" s="2094"/>
      <c r="AN126" s="2094"/>
      <c r="AO126" s="2094"/>
      <c r="AP126" s="2094"/>
      <c r="AQ126" s="2094"/>
      <c r="AR126" s="2094"/>
      <c r="AS126" s="2094"/>
      <c r="AT126" s="2094"/>
      <c r="AU126" s="2094"/>
      <c r="AV126" s="2094"/>
      <c r="AW126" s="2094"/>
      <c r="AX126" s="2094"/>
      <c r="AY126" s="2094"/>
      <c r="AZ126" s="2094"/>
      <c r="BA126" s="2094"/>
      <c r="BB126" s="2094"/>
      <c r="BC126" s="2094"/>
      <c r="BD126" s="2135"/>
      <c r="BE126" s="1194"/>
    </row>
    <row r="127" spans="1:57" ht="15.75" customHeight="1">
      <c r="A127" s="1190"/>
      <c r="B127" s="2154"/>
      <c r="C127" s="2155"/>
      <c r="D127" s="2155"/>
      <c r="E127" s="2155"/>
      <c r="F127" s="2155"/>
      <c r="G127" s="2155"/>
      <c r="H127" s="2155"/>
      <c r="I127" s="2013" t="s">
        <v>2364</v>
      </c>
      <c r="J127" s="2013"/>
      <c r="K127" s="2013"/>
      <c r="L127" s="2013"/>
      <c r="M127" s="2013"/>
      <c r="N127" s="2013"/>
      <c r="O127" s="2110" t="s">
        <v>2363</v>
      </c>
      <c r="P127" s="2110"/>
      <c r="Q127" s="2110"/>
      <c r="R127" s="2110"/>
      <c r="S127" s="2110"/>
      <c r="T127" s="2110"/>
      <c r="U127" s="2111"/>
      <c r="V127" s="1190"/>
      <c r="W127" s="1190"/>
      <c r="X127" s="2078" t="s">
        <v>2333</v>
      </c>
      <c r="Y127" s="2079"/>
      <c r="Z127" s="2079"/>
      <c r="AA127" s="2079"/>
      <c r="AB127" s="2079"/>
      <c r="AC127" s="2079"/>
      <c r="AD127" s="2079"/>
      <c r="AE127" s="2079"/>
      <c r="AF127" s="2079"/>
      <c r="AG127" s="2079"/>
      <c r="AH127" s="2079"/>
      <c r="AI127" s="2079"/>
      <c r="AJ127" s="2079"/>
      <c r="AK127" s="2079"/>
      <c r="AL127" s="2079"/>
      <c r="AM127" s="2079"/>
      <c r="AN127" s="2079"/>
      <c r="AO127" s="2079"/>
      <c r="AP127" s="2079"/>
      <c r="AQ127" s="2079"/>
      <c r="AR127" s="2079"/>
      <c r="AS127" s="2079"/>
      <c r="AT127" s="2079"/>
      <c r="AU127" s="2079"/>
      <c r="AV127" s="2079"/>
      <c r="AW127" s="2079"/>
      <c r="AX127" s="2079"/>
      <c r="AY127" s="2079"/>
      <c r="AZ127" s="2079"/>
      <c r="BA127" s="2079"/>
      <c r="BB127" s="2079"/>
      <c r="BC127" s="2079"/>
      <c r="BD127" s="2080"/>
      <c r="BE127" s="1194"/>
    </row>
    <row r="128" spans="1:57" ht="15.75" customHeight="1">
      <c r="A128" s="1190"/>
      <c r="B128" s="2112" t="s">
        <v>2347</v>
      </c>
      <c r="C128" s="2113"/>
      <c r="D128" s="2113"/>
      <c r="E128" s="2113"/>
      <c r="F128" s="2113"/>
      <c r="G128" s="2113"/>
      <c r="H128" s="2113"/>
      <c r="I128" s="2089">
        <v>0</v>
      </c>
      <c r="J128" s="2089"/>
      <c r="K128" s="2089"/>
      <c r="L128" s="2089"/>
      <c r="M128" s="2089"/>
      <c r="N128" s="2089"/>
      <c r="O128" s="2089">
        <v>0</v>
      </c>
      <c r="P128" s="2089"/>
      <c r="Q128" s="2089"/>
      <c r="R128" s="2089"/>
      <c r="S128" s="2089"/>
      <c r="T128" s="2089"/>
      <c r="U128" s="2090"/>
      <c r="V128" s="1190"/>
      <c r="W128" s="1190"/>
      <c r="X128" s="2078"/>
      <c r="Y128" s="2079"/>
      <c r="Z128" s="2079"/>
      <c r="AA128" s="2079"/>
      <c r="AB128" s="2079"/>
      <c r="AC128" s="2079"/>
      <c r="AD128" s="2079"/>
      <c r="AE128" s="2079"/>
      <c r="AF128" s="2079"/>
      <c r="AG128" s="2079"/>
      <c r="AH128" s="2079"/>
      <c r="AI128" s="2079"/>
      <c r="AJ128" s="2079"/>
      <c r="AK128" s="2079"/>
      <c r="AL128" s="2079"/>
      <c r="AM128" s="2079"/>
      <c r="AN128" s="2079"/>
      <c r="AO128" s="2079"/>
      <c r="AP128" s="2079"/>
      <c r="AQ128" s="2079"/>
      <c r="AR128" s="2079"/>
      <c r="AS128" s="2079"/>
      <c r="AT128" s="2079"/>
      <c r="AU128" s="2079"/>
      <c r="AV128" s="2079"/>
      <c r="AW128" s="2079"/>
      <c r="AX128" s="2079"/>
      <c r="AY128" s="2079"/>
      <c r="AZ128" s="2079"/>
      <c r="BA128" s="2079"/>
      <c r="BB128" s="2079"/>
      <c r="BC128" s="2079"/>
      <c r="BD128" s="2080"/>
      <c r="BE128" s="1194"/>
    </row>
    <row r="129" spans="1:57" ht="15.75" customHeight="1" thickBot="1">
      <c r="A129" s="1190"/>
      <c r="B129" s="2114" t="s">
        <v>2346</v>
      </c>
      <c r="C129" s="2115"/>
      <c r="D129" s="2115"/>
      <c r="E129" s="2115"/>
      <c r="F129" s="2115"/>
      <c r="G129" s="2115"/>
      <c r="H129" s="2115"/>
      <c r="I129" s="2104">
        <v>0</v>
      </c>
      <c r="J129" s="2104"/>
      <c r="K129" s="2104"/>
      <c r="L129" s="2104"/>
      <c r="M129" s="2104"/>
      <c r="N129" s="2104"/>
      <c r="O129" s="2116"/>
      <c r="P129" s="2116"/>
      <c r="Q129" s="2116"/>
      <c r="R129" s="2116"/>
      <c r="S129" s="2116"/>
      <c r="T129" s="2116"/>
      <c r="U129" s="2117"/>
      <c r="V129" s="1190"/>
      <c r="W129" s="1190"/>
      <c r="X129" s="2078"/>
      <c r="Y129" s="2079"/>
      <c r="Z129" s="2079"/>
      <c r="AA129" s="2079"/>
      <c r="AB129" s="2079"/>
      <c r="AC129" s="2079"/>
      <c r="AD129" s="2079"/>
      <c r="AE129" s="2079"/>
      <c r="AF129" s="2079"/>
      <c r="AG129" s="2079"/>
      <c r="AH129" s="2079"/>
      <c r="AI129" s="2079"/>
      <c r="AJ129" s="2079"/>
      <c r="AK129" s="2079"/>
      <c r="AL129" s="2079"/>
      <c r="AM129" s="2079"/>
      <c r="AN129" s="2079"/>
      <c r="AO129" s="2079"/>
      <c r="AP129" s="2079"/>
      <c r="AQ129" s="2079"/>
      <c r="AR129" s="2079"/>
      <c r="AS129" s="2079"/>
      <c r="AT129" s="2079"/>
      <c r="AU129" s="2079"/>
      <c r="AV129" s="2079"/>
      <c r="AW129" s="2079"/>
      <c r="AX129" s="2079"/>
      <c r="AY129" s="2079"/>
      <c r="AZ129" s="2079"/>
      <c r="BA129" s="2079"/>
      <c r="BB129" s="2079"/>
      <c r="BC129" s="2079"/>
      <c r="BD129" s="208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8"/>
      <c r="Y130" s="2079"/>
      <c r="Z130" s="2079"/>
      <c r="AA130" s="2079"/>
      <c r="AB130" s="2079"/>
      <c r="AC130" s="2079"/>
      <c r="AD130" s="2079"/>
      <c r="AE130" s="2079"/>
      <c r="AF130" s="2079"/>
      <c r="AG130" s="2079"/>
      <c r="AH130" s="2079"/>
      <c r="AI130" s="2079"/>
      <c r="AJ130" s="2079"/>
      <c r="AK130" s="2079"/>
      <c r="AL130" s="2079"/>
      <c r="AM130" s="2079"/>
      <c r="AN130" s="2079"/>
      <c r="AO130" s="2079"/>
      <c r="AP130" s="2079"/>
      <c r="AQ130" s="2079"/>
      <c r="AR130" s="2079"/>
      <c r="AS130" s="2079"/>
      <c r="AT130" s="2079"/>
      <c r="AU130" s="2079"/>
      <c r="AV130" s="2079"/>
      <c r="AW130" s="2079"/>
      <c r="AX130" s="2079"/>
      <c r="AY130" s="2079"/>
      <c r="AZ130" s="2079"/>
      <c r="BA130" s="2079"/>
      <c r="BB130" s="2079"/>
      <c r="BC130" s="2079"/>
      <c r="BD130" s="2080"/>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8"/>
      <c r="Y131" s="2079"/>
      <c r="Z131" s="2079"/>
      <c r="AA131" s="2079"/>
      <c r="AB131" s="2079"/>
      <c r="AC131" s="2079"/>
      <c r="AD131" s="2079"/>
      <c r="AE131" s="2079"/>
      <c r="AF131" s="2079"/>
      <c r="AG131" s="2079"/>
      <c r="AH131" s="2079"/>
      <c r="AI131" s="2079"/>
      <c r="AJ131" s="2079"/>
      <c r="AK131" s="2079"/>
      <c r="AL131" s="2079"/>
      <c r="AM131" s="2079"/>
      <c r="AN131" s="2079"/>
      <c r="AO131" s="2079"/>
      <c r="AP131" s="2079"/>
      <c r="AQ131" s="2079"/>
      <c r="AR131" s="2079"/>
      <c r="AS131" s="2079"/>
      <c r="AT131" s="2079"/>
      <c r="AU131" s="2079"/>
      <c r="AV131" s="2079"/>
      <c r="AW131" s="2079"/>
      <c r="AX131" s="2079"/>
      <c r="AY131" s="2079"/>
      <c r="AZ131" s="2079"/>
      <c r="BA131" s="2079"/>
      <c r="BB131" s="2079"/>
      <c r="BC131" s="2079"/>
      <c r="BD131" s="208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8"/>
      <c r="Y132" s="2079"/>
      <c r="Z132" s="2079"/>
      <c r="AA132" s="2079"/>
      <c r="AB132" s="2079"/>
      <c r="AC132" s="2079"/>
      <c r="AD132" s="2079"/>
      <c r="AE132" s="2079"/>
      <c r="AF132" s="2079"/>
      <c r="AG132" s="2079"/>
      <c r="AH132" s="2079"/>
      <c r="AI132" s="2079"/>
      <c r="AJ132" s="2079"/>
      <c r="AK132" s="2079"/>
      <c r="AL132" s="2079"/>
      <c r="AM132" s="2079"/>
      <c r="AN132" s="2079"/>
      <c r="AO132" s="2079"/>
      <c r="AP132" s="2079"/>
      <c r="AQ132" s="2079"/>
      <c r="AR132" s="2079"/>
      <c r="AS132" s="2079"/>
      <c r="AT132" s="2079"/>
      <c r="AU132" s="2079"/>
      <c r="AV132" s="2079"/>
      <c r="AW132" s="2079"/>
      <c r="AX132" s="2079"/>
      <c r="AY132" s="2079"/>
      <c r="AZ132" s="2079"/>
      <c r="BA132" s="2079"/>
      <c r="BB132" s="2079"/>
      <c r="BC132" s="2079"/>
      <c r="BD132" s="2080"/>
      <c r="BE132" s="1194"/>
    </row>
    <row r="133" spans="1:57" ht="15.75" customHeight="1">
      <c r="A133" s="1190"/>
      <c r="B133" s="1914" t="s">
        <v>2361</v>
      </c>
      <c r="C133" s="1915"/>
      <c r="D133" s="1915"/>
      <c r="E133" s="1915"/>
      <c r="F133" s="1915"/>
      <c r="G133" s="1915"/>
      <c r="H133" s="1915"/>
      <c r="I133" s="1915"/>
      <c r="J133" s="1915"/>
      <c r="K133" s="1915"/>
      <c r="L133" s="1915"/>
      <c r="M133" s="1915"/>
      <c r="N133" s="1915"/>
      <c r="O133" s="1915"/>
      <c r="P133" s="1915"/>
      <c r="Q133" s="1915"/>
      <c r="R133" s="1915"/>
      <c r="S133" s="1915"/>
      <c r="T133" s="1915"/>
      <c r="U133" s="1916"/>
      <c r="V133" s="1190"/>
      <c r="W133" s="1190"/>
      <c r="X133" s="2078"/>
      <c r="Y133" s="2079"/>
      <c r="Z133" s="2079"/>
      <c r="AA133" s="2079"/>
      <c r="AB133" s="2079"/>
      <c r="AC133" s="2079"/>
      <c r="AD133" s="2079"/>
      <c r="AE133" s="2079"/>
      <c r="AF133" s="2079"/>
      <c r="AG133" s="2079"/>
      <c r="AH133" s="2079"/>
      <c r="AI133" s="2079"/>
      <c r="AJ133" s="2079"/>
      <c r="AK133" s="2079"/>
      <c r="AL133" s="2079"/>
      <c r="AM133" s="2079"/>
      <c r="AN133" s="2079"/>
      <c r="AO133" s="2079"/>
      <c r="AP133" s="2079"/>
      <c r="AQ133" s="2079"/>
      <c r="AR133" s="2079"/>
      <c r="AS133" s="2079"/>
      <c r="AT133" s="2079"/>
      <c r="AU133" s="2079"/>
      <c r="AV133" s="2079"/>
      <c r="AW133" s="2079"/>
      <c r="AX133" s="2079"/>
      <c r="AY133" s="2079"/>
      <c r="AZ133" s="2079"/>
      <c r="BA133" s="2079"/>
      <c r="BB133" s="2079"/>
      <c r="BC133" s="2079"/>
      <c r="BD133" s="2080"/>
      <c r="BE133" s="1194"/>
    </row>
    <row r="134" spans="1:57" ht="15.75" customHeight="1">
      <c r="A134" s="1190"/>
      <c r="B134" s="2154"/>
      <c r="C134" s="2155"/>
      <c r="D134" s="2155"/>
      <c r="E134" s="2155"/>
      <c r="F134" s="2155"/>
      <c r="G134" s="2155"/>
      <c r="H134" s="2155"/>
      <c r="I134" s="2156" t="s">
        <v>2349</v>
      </c>
      <c r="J134" s="2156"/>
      <c r="K134" s="2156"/>
      <c r="L134" s="2156"/>
      <c r="M134" s="2156"/>
      <c r="N134" s="2156"/>
      <c r="O134" s="2156"/>
      <c r="P134" s="2156" t="s">
        <v>2348</v>
      </c>
      <c r="Q134" s="2156"/>
      <c r="R134" s="2156"/>
      <c r="S134" s="2156"/>
      <c r="T134" s="2156"/>
      <c r="U134" s="2157"/>
      <c r="V134" s="1190"/>
      <c r="W134" s="1190"/>
      <c r="X134" s="2078"/>
      <c r="Y134" s="2079"/>
      <c r="Z134" s="2079"/>
      <c r="AA134" s="2079"/>
      <c r="AB134" s="2079"/>
      <c r="AC134" s="2079"/>
      <c r="AD134" s="2079"/>
      <c r="AE134" s="2079"/>
      <c r="AF134" s="2079"/>
      <c r="AG134" s="2079"/>
      <c r="AH134" s="2079"/>
      <c r="AI134" s="2079"/>
      <c r="AJ134" s="2079"/>
      <c r="AK134" s="2079"/>
      <c r="AL134" s="2079"/>
      <c r="AM134" s="2079"/>
      <c r="AN134" s="2079"/>
      <c r="AO134" s="2079"/>
      <c r="AP134" s="2079"/>
      <c r="AQ134" s="2079"/>
      <c r="AR134" s="2079"/>
      <c r="AS134" s="2079"/>
      <c r="AT134" s="2079"/>
      <c r="AU134" s="2079"/>
      <c r="AV134" s="2079"/>
      <c r="AW134" s="2079"/>
      <c r="AX134" s="2079"/>
      <c r="AY134" s="2079"/>
      <c r="AZ134" s="2079"/>
      <c r="BA134" s="2079"/>
      <c r="BB134" s="2079"/>
      <c r="BC134" s="2079"/>
      <c r="BD134" s="2080"/>
      <c r="BE134" s="1194"/>
    </row>
    <row r="135" spans="1:57" ht="15.75" customHeight="1">
      <c r="A135" s="1190"/>
      <c r="B135" s="2154"/>
      <c r="C135" s="2155"/>
      <c r="D135" s="2155"/>
      <c r="E135" s="2155"/>
      <c r="F135" s="2155"/>
      <c r="G135" s="2155"/>
      <c r="H135" s="2155"/>
      <c r="I135" s="2156"/>
      <c r="J135" s="2156"/>
      <c r="K135" s="2156"/>
      <c r="L135" s="2156"/>
      <c r="M135" s="2156"/>
      <c r="N135" s="2156"/>
      <c r="O135" s="2156"/>
      <c r="P135" s="2156"/>
      <c r="Q135" s="2156"/>
      <c r="R135" s="2156"/>
      <c r="S135" s="2156"/>
      <c r="T135" s="2156"/>
      <c r="U135" s="2157"/>
      <c r="V135" s="1190"/>
      <c r="W135" s="1190"/>
      <c r="X135" s="2078"/>
      <c r="Y135" s="2079"/>
      <c r="Z135" s="2079"/>
      <c r="AA135" s="2079"/>
      <c r="AB135" s="2079"/>
      <c r="AC135" s="2079"/>
      <c r="AD135" s="2079"/>
      <c r="AE135" s="2079"/>
      <c r="AF135" s="2079"/>
      <c r="AG135" s="2079"/>
      <c r="AH135" s="2079"/>
      <c r="AI135" s="2079"/>
      <c r="AJ135" s="2079"/>
      <c r="AK135" s="2079"/>
      <c r="AL135" s="2079"/>
      <c r="AM135" s="2079"/>
      <c r="AN135" s="2079"/>
      <c r="AO135" s="2079"/>
      <c r="AP135" s="2079"/>
      <c r="AQ135" s="2079"/>
      <c r="AR135" s="2079"/>
      <c r="AS135" s="2079"/>
      <c r="AT135" s="2079"/>
      <c r="AU135" s="2079"/>
      <c r="AV135" s="2079"/>
      <c r="AW135" s="2079"/>
      <c r="AX135" s="2079"/>
      <c r="AY135" s="2079"/>
      <c r="AZ135" s="2079"/>
      <c r="BA135" s="2079"/>
      <c r="BB135" s="2079"/>
      <c r="BC135" s="2079"/>
      <c r="BD135" s="2080"/>
      <c r="BE135" s="1194"/>
    </row>
    <row r="136" spans="1:57" ht="15.75" customHeight="1">
      <c r="A136" s="1190"/>
      <c r="B136" s="2112" t="s">
        <v>2347</v>
      </c>
      <c r="C136" s="2113"/>
      <c r="D136" s="2113"/>
      <c r="E136" s="2113"/>
      <c r="F136" s="2113"/>
      <c r="G136" s="2113"/>
      <c r="H136" s="2113"/>
      <c r="I136" s="2089">
        <v>0</v>
      </c>
      <c r="J136" s="2089"/>
      <c r="K136" s="2089"/>
      <c r="L136" s="2089"/>
      <c r="M136" s="2089"/>
      <c r="N136" s="2089"/>
      <c r="O136" s="2089"/>
      <c r="P136" s="2089">
        <v>0</v>
      </c>
      <c r="Q136" s="2089"/>
      <c r="R136" s="2089"/>
      <c r="S136" s="2089"/>
      <c r="T136" s="2089"/>
      <c r="U136" s="2090"/>
      <c r="V136" s="1190"/>
      <c r="W136" s="1190"/>
      <c r="X136" s="2078"/>
      <c r="Y136" s="2079"/>
      <c r="Z136" s="2079"/>
      <c r="AA136" s="2079"/>
      <c r="AB136" s="2079"/>
      <c r="AC136" s="2079"/>
      <c r="AD136" s="2079"/>
      <c r="AE136" s="2079"/>
      <c r="AF136" s="2079"/>
      <c r="AG136" s="2079"/>
      <c r="AH136" s="2079"/>
      <c r="AI136" s="2079"/>
      <c r="AJ136" s="2079"/>
      <c r="AK136" s="2079"/>
      <c r="AL136" s="2079"/>
      <c r="AM136" s="2079"/>
      <c r="AN136" s="2079"/>
      <c r="AO136" s="2079"/>
      <c r="AP136" s="2079"/>
      <c r="AQ136" s="2079"/>
      <c r="AR136" s="2079"/>
      <c r="AS136" s="2079"/>
      <c r="AT136" s="2079"/>
      <c r="AU136" s="2079"/>
      <c r="AV136" s="2079"/>
      <c r="AW136" s="2079"/>
      <c r="AX136" s="2079"/>
      <c r="AY136" s="2079"/>
      <c r="AZ136" s="2079"/>
      <c r="BA136" s="2079"/>
      <c r="BB136" s="2079"/>
      <c r="BC136" s="2079"/>
      <c r="BD136" s="2080"/>
      <c r="BE136" s="1194"/>
    </row>
    <row r="137" spans="1:57" ht="15.75" customHeight="1" thickBot="1">
      <c r="A137" s="1190"/>
      <c r="B137" s="2114" t="s">
        <v>2346</v>
      </c>
      <c r="C137" s="2115"/>
      <c r="D137" s="2115"/>
      <c r="E137" s="2115"/>
      <c r="F137" s="2115"/>
      <c r="G137" s="2115"/>
      <c r="H137" s="2115"/>
      <c r="I137" s="2104">
        <v>0</v>
      </c>
      <c r="J137" s="2104"/>
      <c r="K137" s="2104"/>
      <c r="L137" s="2104"/>
      <c r="M137" s="2104"/>
      <c r="N137" s="2104"/>
      <c r="O137" s="2104"/>
      <c r="P137" s="2104">
        <v>0</v>
      </c>
      <c r="Q137" s="2104"/>
      <c r="R137" s="2104"/>
      <c r="S137" s="2104"/>
      <c r="T137" s="2104"/>
      <c r="U137" s="2105"/>
      <c r="V137" s="1190"/>
      <c r="W137" s="1190"/>
      <c r="X137" s="2081"/>
      <c r="Y137" s="2082"/>
      <c r="Z137" s="2082"/>
      <c r="AA137" s="2082"/>
      <c r="AB137" s="2082"/>
      <c r="AC137" s="2082"/>
      <c r="AD137" s="2082"/>
      <c r="AE137" s="2082"/>
      <c r="AF137" s="2082"/>
      <c r="AG137" s="2082"/>
      <c r="AH137" s="2082"/>
      <c r="AI137" s="2082"/>
      <c r="AJ137" s="2082"/>
      <c r="AK137" s="2082"/>
      <c r="AL137" s="2082"/>
      <c r="AM137" s="2082"/>
      <c r="AN137" s="2082"/>
      <c r="AO137" s="2082"/>
      <c r="AP137" s="2082"/>
      <c r="AQ137" s="2082"/>
      <c r="AR137" s="2082"/>
      <c r="AS137" s="2082"/>
      <c r="AT137" s="2082"/>
      <c r="AU137" s="2082"/>
      <c r="AV137" s="2082"/>
      <c r="AW137" s="2082"/>
      <c r="AX137" s="2082"/>
      <c r="AY137" s="2082"/>
      <c r="AZ137" s="2082"/>
      <c r="BA137" s="2082"/>
      <c r="BB137" s="2082"/>
      <c r="BC137" s="2082"/>
      <c r="BD137" s="208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2" t="s">
        <v>2360</v>
      </c>
      <c r="C139" s="2153"/>
      <c r="D139" s="2153"/>
      <c r="E139" s="2153"/>
      <c r="F139" s="2153"/>
      <c r="G139" s="2153"/>
      <c r="H139" s="2153"/>
      <c r="I139" s="2153"/>
      <c r="J139" s="2153"/>
      <c r="K139" s="2153"/>
      <c r="L139" s="2153"/>
      <c r="M139" s="2153"/>
      <c r="N139" s="2153"/>
      <c r="O139" s="2153"/>
      <c r="P139" s="2153"/>
      <c r="Q139" s="2153"/>
      <c r="R139" s="2153"/>
      <c r="S139" s="2153"/>
      <c r="T139" s="2153"/>
      <c r="U139" s="2153"/>
      <c r="V139" s="2153"/>
      <c r="W139" s="2153"/>
      <c r="X139" s="2153"/>
      <c r="Y139" s="2153"/>
      <c r="Z139" s="2153"/>
      <c r="AA139" s="2153"/>
      <c r="AB139" s="2153"/>
      <c r="AC139" s="2153"/>
      <c r="AD139" s="2153"/>
      <c r="AE139" s="2153"/>
      <c r="AF139" s="2153"/>
      <c r="AG139" s="2153"/>
      <c r="AH139" s="2037" t="s">
        <v>546</v>
      </c>
      <c r="AI139" s="2037"/>
      <c r="AJ139" s="2037"/>
      <c r="AK139" s="2037"/>
      <c r="AL139" s="2037"/>
      <c r="AM139" s="2037"/>
      <c r="AN139" s="2037"/>
      <c r="AO139" s="2037"/>
      <c r="AP139" s="2037"/>
      <c r="AQ139" s="2037"/>
      <c r="AR139" s="2037"/>
      <c r="AS139" s="2037"/>
      <c r="AT139" s="2037"/>
      <c r="AU139" s="2037"/>
      <c r="AV139" s="2037"/>
      <c r="AW139" s="2037"/>
      <c r="AX139" s="2038"/>
      <c r="AY139" s="1190"/>
      <c r="AZ139" s="1190"/>
      <c r="BA139" s="1190"/>
      <c r="BB139" s="1190"/>
      <c r="BC139" s="1190"/>
      <c r="BD139" s="1190"/>
      <c r="BE139" s="1194"/>
    </row>
    <row r="140" spans="1:57" ht="15.75" customHeight="1" thickBot="1">
      <c r="A140" s="1190"/>
      <c r="B140" s="2139" t="s">
        <v>2359</v>
      </c>
      <c r="C140" s="2140"/>
      <c r="D140" s="2140"/>
      <c r="E140" s="2140"/>
      <c r="F140" s="2140"/>
      <c r="G140" s="2140"/>
      <c r="H140" s="2140"/>
      <c r="I140" s="2140"/>
      <c r="J140" s="2140"/>
      <c r="K140" s="2140"/>
      <c r="L140" s="2140"/>
      <c r="M140" s="2140"/>
      <c r="N140" s="2140"/>
      <c r="O140" s="2140"/>
      <c r="P140" s="2140"/>
      <c r="Q140" s="2140"/>
      <c r="R140" s="2140"/>
      <c r="S140" s="2140"/>
      <c r="T140" s="2140"/>
      <c r="U140" s="2140"/>
      <c r="V140" s="2140"/>
      <c r="W140" s="2140"/>
      <c r="X140" s="2140"/>
      <c r="Y140" s="2140"/>
      <c r="Z140" s="2140"/>
      <c r="AA140" s="2140"/>
      <c r="AB140" s="2140"/>
      <c r="AC140" s="2140"/>
      <c r="AD140" s="2140"/>
      <c r="AE140" s="2140"/>
      <c r="AF140" s="2140"/>
      <c r="AG140" s="2141"/>
      <c r="AH140" s="2106"/>
      <c r="AI140" s="2107"/>
      <c r="AJ140" s="2107"/>
      <c r="AK140" s="2107"/>
      <c r="AL140" s="2107"/>
      <c r="AM140" s="2107"/>
      <c r="AN140" s="2107"/>
      <c r="AO140" s="2107"/>
      <c r="AP140" s="2107"/>
      <c r="AQ140" s="2107"/>
      <c r="AR140" s="2107"/>
      <c r="AS140" s="2107"/>
      <c r="AT140" s="2107"/>
      <c r="AU140" s="2107"/>
      <c r="AV140" s="2107"/>
      <c r="AW140" s="2107"/>
      <c r="AX140" s="2108"/>
      <c r="AY140" s="1190"/>
      <c r="AZ140" s="1190"/>
      <c r="BA140" s="1190"/>
      <c r="BB140" s="1190"/>
      <c r="BC140" s="1190"/>
      <c r="BD140" s="1190"/>
      <c r="BE140" s="1194"/>
    </row>
    <row r="141" spans="1:57" ht="15.75" customHeight="1">
      <c r="A141" s="1190"/>
      <c r="B141" s="2139" t="s">
        <v>2358</v>
      </c>
      <c r="C141" s="2140"/>
      <c r="D141" s="2140"/>
      <c r="E141" s="2140"/>
      <c r="F141" s="2140"/>
      <c r="G141" s="2140"/>
      <c r="H141" s="2140"/>
      <c r="I141" s="2140"/>
      <c r="J141" s="2140"/>
      <c r="K141" s="2140"/>
      <c r="L141" s="2140"/>
      <c r="M141" s="2140"/>
      <c r="N141" s="2140"/>
      <c r="O141" s="2140"/>
      <c r="P141" s="2140"/>
      <c r="Q141" s="2140"/>
      <c r="R141" s="2140"/>
      <c r="S141" s="2140"/>
      <c r="T141" s="2140"/>
      <c r="U141" s="2140"/>
      <c r="V141" s="2140"/>
      <c r="W141" s="2140"/>
      <c r="X141" s="2140"/>
      <c r="Y141" s="2140"/>
      <c r="Z141" s="2140"/>
      <c r="AA141" s="2140"/>
      <c r="AB141" s="2140"/>
      <c r="AC141" s="2140"/>
      <c r="AD141" s="2140"/>
      <c r="AE141" s="2140"/>
      <c r="AF141" s="2140"/>
      <c r="AG141" s="2141"/>
      <c r="AH141" s="2037" t="s">
        <v>546</v>
      </c>
      <c r="AI141" s="2037"/>
      <c r="AJ141" s="2037"/>
      <c r="AK141" s="2037"/>
      <c r="AL141" s="2037"/>
      <c r="AM141" s="2037"/>
      <c r="AN141" s="2037"/>
      <c r="AO141" s="2037"/>
      <c r="AP141" s="2037"/>
      <c r="AQ141" s="2037"/>
      <c r="AR141" s="2037"/>
      <c r="AS141" s="2037"/>
      <c r="AT141" s="2037"/>
      <c r="AU141" s="2037"/>
      <c r="AV141" s="2037"/>
      <c r="AW141" s="2037"/>
      <c r="AX141" s="2038"/>
      <c r="AY141" s="1190"/>
      <c r="AZ141" s="1190"/>
      <c r="BA141" s="1190"/>
      <c r="BB141" s="1190"/>
      <c r="BC141" s="1190"/>
      <c r="BD141" s="1190"/>
      <c r="BE141" s="1194"/>
    </row>
    <row r="142" spans="1:57" ht="15.75" customHeight="1">
      <c r="A142" s="1190"/>
      <c r="B142" s="2142" t="s">
        <v>2357</v>
      </c>
      <c r="C142" s="2143"/>
      <c r="D142" s="2143"/>
      <c r="E142" s="2143"/>
      <c r="F142" s="2143"/>
      <c r="G142" s="2143"/>
      <c r="H142" s="2143"/>
      <c r="I142" s="2143"/>
      <c r="J142" s="2143"/>
      <c r="K142" s="2143"/>
      <c r="L142" s="2143"/>
      <c r="M142" s="2143"/>
      <c r="N142" s="2143"/>
      <c r="O142" s="2143"/>
      <c r="P142" s="2143"/>
      <c r="Q142" s="2143"/>
      <c r="R142" s="2144" t="s">
        <v>2356</v>
      </c>
      <c r="S142" s="2144"/>
      <c r="T142" s="2144"/>
      <c r="U142" s="2144"/>
      <c r="V142" s="2144"/>
      <c r="W142" s="2144"/>
      <c r="X142" s="2144"/>
      <c r="Y142" s="2144"/>
      <c r="Z142" s="2144"/>
      <c r="AA142" s="2144"/>
      <c r="AB142" s="2144"/>
      <c r="AC142" s="2144"/>
      <c r="AD142" s="2144"/>
      <c r="AE142" s="2144"/>
      <c r="AF142" s="2144"/>
      <c r="AG142" s="2144"/>
      <c r="AH142" s="2144"/>
      <c r="AI142" s="2144"/>
      <c r="AJ142" s="2144"/>
      <c r="AK142" s="2144"/>
      <c r="AL142" s="2144"/>
      <c r="AM142" s="2144"/>
      <c r="AN142" s="2144"/>
      <c r="AO142" s="2144"/>
      <c r="AP142" s="2144"/>
      <c r="AQ142" s="2144"/>
      <c r="AR142" s="2144"/>
      <c r="AS142" s="2144"/>
      <c r="AT142" s="2144"/>
      <c r="AU142" s="2144"/>
      <c r="AV142" s="2144"/>
      <c r="AW142" s="2144"/>
      <c r="AX142" s="2145"/>
      <c r="AY142" s="1190"/>
      <c r="AZ142" s="1190"/>
      <c r="BA142" s="1190"/>
      <c r="BB142" s="1190"/>
      <c r="BC142" s="1190" t="s">
        <v>250</v>
      </c>
      <c r="BD142" s="1190"/>
      <c r="BE142" s="1194"/>
    </row>
    <row r="143" spans="1:57" ht="15.75" customHeight="1">
      <c r="A143" s="1190"/>
      <c r="B143" s="2146" t="s">
        <v>2355</v>
      </c>
      <c r="C143" s="2147"/>
      <c r="D143" s="2147"/>
      <c r="E143" s="2147"/>
      <c r="F143" s="2147"/>
      <c r="G143" s="2147"/>
      <c r="H143" s="2147"/>
      <c r="I143" s="2147"/>
      <c r="J143" s="2147"/>
      <c r="K143" s="2147"/>
      <c r="L143" s="2147"/>
      <c r="M143" s="2147"/>
      <c r="N143" s="2147"/>
      <c r="O143" s="2147"/>
      <c r="P143" s="2147"/>
      <c r="Q143" s="2147"/>
      <c r="R143" s="2147"/>
      <c r="S143" s="2147"/>
      <c r="T143" s="2147"/>
      <c r="U143" s="2147"/>
      <c r="V143" s="2147"/>
      <c r="W143" s="2147"/>
      <c r="X143" s="2147"/>
      <c r="Y143" s="2147"/>
      <c r="Z143" s="2147"/>
      <c r="AA143" s="2147"/>
      <c r="AB143" s="2147"/>
      <c r="AC143" s="2147"/>
      <c r="AD143" s="2147"/>
      <c r="AE143" s="2147"/>
      <c r="AF143" s="2147"/>
      <c r="AG143" s="2147"/>
      <c r="AH143" s="2147"/>
      <c r="AI143" s="2147"/>
      <c r="AJ143" s="2147"/>
      <c r="AK143" s="2147"/>
      <c r="AL143" s="2147"/>
      <c r="AM143" s="2147"/>
      <c r="AN143" s="2147"/>
      <c r="AO143" s="2147"/>
      <c r="AP143" s="2147"/>
      <c r="AQ143" s="2147"/>
      <c r="AR143" s="2147"/>
      <c r="AS143" s="2147"/>
      <c r="AT143" s="2147"/>
      <c r="AU143" s="2147"/>
      <c r="AV143" s="2147"/>
      <c r="AW143" s="2147"/>
      <c r="AX143" s="2148"/>
      <c r="AY143" s="1190"/>
      <c r="AZ143" s="1190"/>
      <c r="BA143" s="1190"/>
      <c r="BB143" s="1190"/>
      <c r="BC143" s="1190"/>
      <c r="BD143" s="1190"/>
      <c r="BE143" s="1194"/>
    </row>
    <row r="144" spans="1:57" ht="15.75" customHeight="1">
      <c r="A144" s="1190"/>
      <c r="B144" s="2146"/>
      <c r="C144" s="2147"/>
      <c r="D144" s="2147"/>
      <c r="E144" s="2147"/>
      <c r="F144" s="2147"/>
      <c r="G144" s="2147"/>
      <c r="H144" s="2147"/>
      <c r="I144" s="2147"/>
      <c r="J144" s="2147"/>
      <c r="K144" s="2147"/>
      <c r="L144" s="2147"/>
      <c r="M144" s="2147"/>
      <c r="N144" s="2147"/>
      <c r="O144" s="2147"/>
      <c r="P144" s="2147"/>
      <c r="Q144" s="2147"/>
      <c r="R144" s="2147"/>
      <c r="S144" s="2147"/>
      <c r="T144" s="2147"/>
      <c r="U144" s="2147"/>
      <c r="V144" s="2147"/>
      <c r="W144" s="2147"/>
      <c r="X144" s="2147"/>
      <c r="Y144" s="2147"/>
      <c r="Z144" s="2147"/>
      <c r="AA144" s="2147"/>
      <c r="AB144" s="2147"/>
      <c r="AC144" s="2147"/>
      <c r="AD144" s="2147"/>
      <c r="AE144" s="2147"/>
      <c r="AF144" s="2147"/>
      <c r="AG144" s="2147"/>
      <c r="AH144" s="2147"/>
      <c r="AI144" s="2147"/>
      <c r="AJ144" s="2147"/>
      <c r="AK144" s="2147"/>
      <c r="AL144" s="2147"/>
      <c r="AM144" s="2147"/>
      <c r="AN144" s="2147"/>
      <c r="AO144" s="2147"/>
      <c r="AP144" s="2147"/>
      <c r="AQ144" s="2147"/>
      <c r="AR144" s="2147"/>
      <c r="AS144" s="2147"/>
      <c r="AT144" s="2147"/>
      <c r="AU144" s="2147"/>
      <c r="AV144" s="2147"/>
      <c r="AW144" s="2147"/>
      <c r="AX144" s="2148"/>
      <c r="AY144" s="1190"/>
      <c r="AZ144" s="1190"/>
      <c r="BA144" s="1190"/>
      <c r="BB144" s="1190"/>
      <c r="BC144" s="1190"/>
      <c r="BD144" s="1190"/>
      <c r="BE144" s="1194"/>
    </row>
    <row r="145" spans="1:57" ht="15.75" customHeight="1">
      <c r="A145" s="1190"/>
      <c r="B145" s="2146"/>
      <c r="C145" s="2147"/>
      <c r="D145" s="2147"/>
      <c r="E145" s="2147"/>
      <c r="F145" s="2147"/>
      <c r="G145" s="2147"/>
      <c r="H145" s="2147"/>
      <c r="I145" s="2147"/>
      <c r="J145" s="2147"/>
      <c r="K145" s="2147"/>
      <c r="L145" s="2147"/>
      <c r="M145" s="2147"/>
      <c r="N145" s="2147"/>
      <c r="O145" s="2147"/>
      <c r="P145" s="2147"/>
      <c r="Q145" s="2147"/>
      <c r="R145" s="2147"/>
      <c r="S145" s="2147"/>
      <c r="T145" s="2147"/>
      <c r="U145" s="2147"/>
      <c r="V145" s="2147"/>
      <c r="W145" s="2147"/>
      <c r="X145" s="2147"/>
      <c r="Y145" s="2147"/>
      <c r="Z145" s="2147"/>
      <c r="AA145" s="2147"/>
      <c r="AB145" s="2147"/>
      <c r="AC145" s="2147"/>
      <c r="AD145" s="2147"/>
      <c r="AE145" s="2147"/>
      <c r="AF145" s="2147"/>
      <c r="AG145" s="2147"/>
      <c r="AH145" s="2147"/>
      <c r="AI145" s="2147"/>
      <c r="AJ145" s="2147"/>
      <c r="AK145" s="2147"/>
      <c r="AL145" s="2147"/>
      <c r="AM145" s="2147"/>
      <c r="AN145" s="2147"/>
      <c r="AO145" s="2147"/>
      <c r="AP145" s="2147"/>
      <c r="AQ145" s="2147"/>
      <c r="AR145" s="2147"/>
      <c r="AS145" s="2147"/>
      <c r="AT145" s="2147"/>
      <c r="AU145" s="2147"/>
      <c r="AV145" s="2147"/>
      <c r="AW145" s="2147"/>
      <c r="AX145" s="2148"/>
      <c r="AY145" s="1190"/>
      <c r="AZ145" s="1190"/>
      <c r="BA145" s="1190"/>
      <c r="BB145" s="1190"/>
      <c r="BC145" s="1190"/>
      <c r="BD145" s="1190"/>
      <c r="BE145" s="1194"/>
    </row>
    <row r="146" spans="1:57" ht="15.75" customHeight="1">
      <c r="A146" s="1190"/>
      <c r="B146" s="2146"/>
      <c r="C146" s="2147"/>
      <c r="D146" s="2147"/>
      <c r="E146" s="2147"/>
      <c r="F146" s="2147"/>
      <c r="G146" s="2147"/>
      <c r="H146" s="2147"/>
      <c r="I146" s="2147"/>
      <c r="J146" s="2147"/>
      <c r="K146" s="2147"/>
      <c r="L146" s="2147"/>
      <c r="M146" s="2147"/>
      <c r="N146" s="2147"/>
      <c r="O146" s="2147"/>
      <c r="P146" s="2147"/>
      <c r="Q146" s="2147"/>
      <c r="R146" s="2147"/>
      <c r="S146" s="2147"/>
      <c r="T146" s="2147"/>
      <c r="U146" s="2147"/>
      <c r="V146" s="2147"/>
      <c r="W146" s="2147"/>
      <c r="X146" s="2147"/>
      <c r="Y146" s="2147"/>
      <c r="Z146" s="2147"/>
      <c r="AA146" s="2147"/>
      <c r="AB146" s="2147"/>
      <c r="AC146" s="2147"/>
      <c r="AD146" s="2147"/>
      <c r="AE146" s="2147"/>
      <c r="AF146" s="2147"/>
      <c r="AG146" s="2147"/>
      <c r="AH146" s="2147"/>
      <c r="AI146" s="2147"/>
      <c r="AJ146" s="2147"/>
      <c r="AK146" s="2147"/>
      <c r="AL146" s="2147"/>
      <c r="AM146" s="2147"/>
      <c r="AN146" s="2147"/>
      <c r="AO146" s="2147"/>
      <c r="AP146" s="2147"/>
      <c r="AQ146" s="2147"/>
      <c r="AR146" s="2147"/>
      <c r="AS146" s="2147"/>
      <c r="AT146" s="2147"/>
      <c r="AU146" s="2147"/>
      <c r="AV146" s="2147"/>
      <c r="AW146" s="2147"/>
      <c r="AX146" s="2148"/>
      <c r="AY146" s="1190"/>
      <c r="AZ146" s="1190"/>
      <c r="BA146" s="1190"/>
      <c r="BB146" s="1190"/>
      <c r="BC146" s="1190"/>
      <c r="BD146" s="1190"/>
      <c r="BE146" s="1194"/>
    </row>
    <row r="147" spans="1:57" ht="15.75" customHeight="1">
      <c r="A147" s="1190"/>
      <c r="B147" s="2146"/>
      <c r="C147" s="2147"/>
      <c r="D147" s="2147"/>
      <c r="E147" s="2147"/>
      <c r="F147" s="2147"/>
      <c r="G147" s="2147"/>
      <c r="H147" s="2147"/>
      <c r="I147" s="2147"/>
      <c r="J147" s="2147"/>
      <c r="K147" s="2147"/>
      <c r="L147" s="2147"/>
      <c r="M147" s="2147"/>
      <c r="N147" s="2147"/>
      <c r="O147" s="2147"/>
      <c r="P147" s="2147"/>
      <c r="Q147" s="2147"/>
      <c r="R147" s="2147"/>
      <c r="S147" s="2147"/>
      <c r="T147" s="2147"/>
      <c r="U147" s="2147"/>
      <c r="V147" s="2147"/>
      <c r="W147" s="2147"/>
      <c r="X147" s="2147"/>
      <c r="Y147" s="2147"/>
      <c r="Z147" s="2147"/>
      <c r="AA147" s="2147"/>
      <c r="AB147" s="2147"/>
      <c r="AC147" s="2147"/>
      <c r="AD147" s="2147"/>
      <c r="AE147" s="2147"/>
      <c r="AF147" s="2147"/>
      <c r="AG147" s="2147"/>
      <c r="AH147" s="2147"/>
      <c r="AI147" s="2147"/>
      <c r="AJ147" s="2147"/>
      <c r="AK147" s="2147"/>
      <c r="AL147" s="2147"/>
      <c r="AM147" s="2147"/>
      <c r="AN147" s="2147"/>
      <c r="AO147" s="2147"/>
      <c r="AP147" s="2147"/>
      <c r="AQ147" s="2147"/>
      <c r="AR147" s="2147"/>
      <c r="AS147" s="2147"/>
      <c r="AT147" s="2147"/>
      <c r="AU147" s="2147"/>
      <c r="AV147" s="2147"/>
      <c r="AW147" s="2147"/>
      <c r="AX147" s="2148"/>
      <c r="AY147" s="1190"/>
      <c r="AZ147" s="1190"/>
      <c r="BA147" s="1190"/>
      <c r="BB147" s="1190"/>
      <c r="BC147" s="1190"/>
      <c r="BD147" s="1190"/>
      <c r="BE147" s="1194"/>
    </row>
    <row r="148" spans="1:57" ht="15.75" customHeight="1">
      <c r="A148" s="1190"/>
      <c r="B148" s="2146"/>
      <c r="C148" s="2147"/>
      <c r="D148" s="2147"/>
      <c r="E148" s="2147"/>
      <c r="F148" s="2147"/>
      <c r="G148" s="2147"/>
      <c r="H148" s="2147"/>
      <c r="I148" s="2147"/>
      <c r="J148" s="2147"/>
      <c r="K148" s="2147"/>
      <c r="L148" s="2147"/>
      <c r="M148" s="2147"/>
      <c r="N148" s="2147"/>
      <c r="O148" s="2147"/>
      <c r="P148" s="2147"/>
      <c r="Q148" s="2147"/>
      <c r="R148" s="2147"/>
      <c r="S148" s="2147"/>
      <c r="T148" s="2147"/>
      <c r="U148" s="2147"/>
      <c r="V148" s="2147"/>
      <c r="W148" s="2147"/>
      <c r="X148" s="2147"/>
      <c r="Y148" s="2147"/>
      <c r="Z148" s="2147"/>
      <c r="AA148" s="2147"/>
      <c r="AB148" s="2147"/>
      <c r="AC148" s="2147"/>
      <c r="AD148" s="2147"/>
      <c r="AE148" s="2147"/>
      <c r="AF148" s="2147"/>
      <c r="AG148" s="2147"/>
      <c r="AH148" s="2147"/>
      <c r="AI148" s="2147"/>
      <c r="AJ148" s="2147"/>
      <c r="AK148" s="2147"/>
      <c r="AL148" s="2147"/>
      <c r="AM148" s="2147"/>
      <c r="AN148" s="2147"/>
      <c r="AO148" s="2147"/>
      <c r="AP148" s="2147"/>
      <c r="AQ148" s="2147"/>
      <c r="AR148" s="2147"/>
      <c r="AS148" s="2147"/>
      <c r="AT148" s="2147"/>
      <c r="AU148" s="2147"/>
      <c r="AV148" s="2147"/>
      <c r="AW148" s="2147"/>
      <c r="AX148" s="2148"/>
      <c r="AY148" s="1190"/>
      <c r="AZ148" s="1190"/>
      <c r="BA148" s="1190"/>
      <c r="BB148" s="1190"/>
      <c r="BC148" s="1190"/>
      <c r="BD148" s="1190"/>
      <c r="BE148" s="1194"/>
    </row>
    <row r="149" spans="1:57" ht="15.75" customHeight="1">
      <c r="A149" s="1190"/>
      <c r="B149" s="2146"/>
      <c r="C149" s="2147"/>
      <c r="D149" s="2147"/>
      <c r="E149" s="2147"/>
      <c r="F149" s="2147"/>
      <c r="G149" s="2147"/>
      <c r="H149" s="2147"/>
      <c r="I149" s="2147"/>
      <c r="J149" s="2147"/>
      <c r="K149" s="2147"/>
      <c r="L149" s="2147"/>
      <c r="M149" s="2147"/>
      <c r="N149" s="2147"/>
      <c r="O149" s="2147"/>
      <c r="P149" s="2147"/>
      <c r="Q149" s="2147"/>
      <c r="R149" s="2147"/>
      <c r="S149" s="2147"/>
      <c r="T149" s="2147"/>
      <c r="U149" s="2147"/>
      <c r="V149" s="2147"/>
      <c r="W149" s="2147"/>
      <c r="X149" s="2147"/>
      <c r="Y149" s="2147"/>
      <c r="Z149" s="2147"/>
      <c r="AA149" s="2147"/>
      <c r="AB149" s="2147"/>
      <c r="AC149" s="2147"/>
      <c r="AD149" s="2147"/>
      <c r="AE149" s="2147"/>
      <c r="AF149" s="2147"/>
      <c r="AG149" s="2147"/>
      <c r="AH149" s="2147"/>
      <c r="AI149" s="2147"/>
      <c r="AJ149" s="2147"/>
      <c r="AK149" s="2147"/>
      <c r="AL149" s="2147"/>
      <c r="AM149" s="2147"/>
      <c r="AN149" s="2147"/>
      <c r="AO149" s="2147"/>
      <c r="AP149" s="2147"/>
      <c r="AQ149" s="2147"/>
      <c r="AR149" s="2147"/>
      <c r="AS149" s="2147"/>
      <c r="AT149" s="2147"/>
      <c r="AU149" s="2147"/>
      <c r="AV149" s="2147"/>
      <c r="AW149" s="2147"/>
      <c r="AX149" s="2148"/>
      <c r="AY149" s="1190"/>
      <c r="AZ149" s="1190"/>
      <c r="BA149" s="1190"/>
      <c r="BB149" s="1190"/>
      <c r="BC149" s="1190"/>
      <c r="BD149" s="1190"/>
      <c r="BE149" s="1194"/>
    </row>
    <row r="150" spans="1:57" ht="15.75" customHeight="1">
      <c r="A150" s="1190"/>
      <c r="B150" s="2146"/>
      <c r="C150" s="2147"/>
      <c r="D150" s="2147"/>
      <c r="E150" s="2147"/>
      <c r="F150" s="2147"/>
      <c r="G150" s="2147"/>
      <c r="H150" s="2147"/>
      <c r="I150" s="2147"/>
      <c r="J150" s="2147"/>
      <c r="K150" s="2147"/>
      <c r="L150" s="2147"/>
      <c r="M150" s="2147"/>
      <c r="N150" s="2147"/>
      <c r="O150" s="2147"/>
      <c r="P150" s="2147"/>
      <c r="Q150" s="2147"/>
      <c r="R150" s="2147"/>
      <c r="S150" s="2147"/>
      <c r="T150" s="2147"/>
      <c r="U150" s="2147"/>
      <c r="V150" s="2147"/>
      <c r="W150" s="2147"/>
      <c r="X150" s="2147"/>
      <c r="Y150" s="2147"/>
      <c r="Z150" s="2147"/>
      <c r="AA150" s="2147"/>
      <c r="AB150" s="2147"/>
      <c r="AC150" s="2147"/>
      <c r="AD150" s="2147"/>
      <c r="AE150" s="2147"/>
      <c r="AF150" s="2147"/>
      <c r="AG150" s="2147"/>
      <c r="AH150" s="2147"/>
      <c r="AI150" s="2147"/>
      <c r="AJ150" s="2147"/>
      <c r="AK150" s="2147"/>
      <c r="AL150" s="2147"/>
      <c r="AM150" s="2147"/>
      <c r="AN150" s="2147"/>
      <c r="AO150" s="2147"/>
      <c r="AP150" s="2147"/>
      <c r="AQ150" s="2147"/>
      <c r="AR150" s="2147"/>
      <c r="AS150" s="2147"/>
      <c r="AT150" s="2147"/>
      <c r="AU150" s="2147"/>
      <c r="AV150" s="2147"/>
      <c r="AW150" s="2147"/>
      <c r="AX150" s="2148"/>
      <c r="AY150" s="1190"/>
      <c r="AZ150" s="1190"/>
      <c r="BA150" s="1190"/>
      <c r="BB150" s="1190"/>
      <c r="BC150" s="1190"/>
      <c r="BD150" s="1190"/>
      <c r="BE150" s="1194"/>
    </row>
    <row r="151" spans="1:57" ht="15.75" customHeight="1">
      <c r="A151" s="1190"/>
      <c r="B151" s="2146"/>
      <c r="C151" s="2147"/>
      <c r="D151" s="2147"/>
      <c r="E151" s="2147"/>
      <c r="F151" s="2147"/>
      <c r="G151" s="2147"/>
      <c r="H151" s="2147"/>
      <c r="I151" s="2147"/>
      <c r="J151" s="2147"/>
      <c r="K151" s="2147"/>
      <c r="L151" s="2147"/>
      <c r="M151" s="2147"/>
      <c r="N151" s="2147"/>
      <c r="O151" s="2147"/>
      <c r="P151" s="2147"/>
      <c r="Q151" s="2147"/>
      <c r="R151" s="2147"/>
      <c r="S151" s="2147"/>
      <c r="T151" s="2147"/>
      <c r="U151" s="2147"/>
      <c r="V151" s="2147"/>
      <c r="W151" s="2147"/>
      <c r="X151" s="2147"/>
      <c r="Y151" s="2147"/>
      <c r="Z151" s="2147"/>
      <c r="AA151" s="2147"/>
      <c r="AB151" s="2147"/>
      <c r="AC151" s="2147"/>
      <c r="AD151" s="2147"/>
      <c r="AE151" s="2147"/>
      <c r="AF151" s="2147"/>
      <c r="AG151" s="2147"/>
      <c r="AH151" s="2147"/>
      <c r="AI151" s="2147"/>
      <c r="AJ151" s="2147"/>
      <c r="AK151" s="2147"/>
      <c r="AL151" s="2147"/>
      <c r="AM151" s="2147"/>
      <c r="AN151" s="2147"/>
      <c r="AO151" s="2147"/>
      <c r="AP151" s="2147"/>
      <c r="AQ151" s="2147"/>
      <c r="AR151" s="2147"/>
      <c r="AS151" s="2147"/>
      <c r="AT151" s="2147"/>
      <c r="AU151" s="2147"/>
      <c r="AV151" s="2147"/>
      <c r="AW151" s="2147"/>
      <c r="AX151" s="2148"/>
      <c r="AY151" s="1190"/>
      <c r="AZ151" s="1190"/>
      <c r="BA151" s="1190"/>
      <c r="BB151" s="1190"/>
      <c r="BC151" s="1190"/>
      <c r="BD151" s="1190"/>
      <c r="BE151" s="1194"/>
    </row>
    <row r="152" spans="1:57" ht="15.75" customHeight="1" thickBot="1">
      <c r="A152" s="1190"/>
      <c r="B152" s="2149"/>
      <c r="C152" s="2150"/>
      <c r="D152" s="2150"/>
      <c r="E152" s="2150"/>
      <c r="F152" s="2150"/>
      <c r="G152" s="2150"/>
      <c r="H152" s="2150"/>
      <c r="I152" s="2150"/>
      <c r="J152" s="2150"/>
      <c r="K152" s="2150"/>
      <c r="L152" s="2150"/>
      <c r="M152" s="2150"/>
      <c r="N152" s="2150"/>
      <c r="O152" s="2150"/>
      <c r="P152" s="2150"/>
      <c r="Q152" s="2150"/>
      <c r="R152" s="2150"/>
      <c r="S152" s="2150"/>
      <c r="T152" s="2150"/>
      <c r="U152" s="2150"/>
      <c r="V152" s="2150"/>
      <c r="W152" s="2150"/>
      <c r="X152" s="2150"/>
      <c r="Y152" s="2150"/>
      <c r="Z152" s="2150"/>
      <c r="AA152" s="2150"/>
      <c r="AB152" s="2150"/>
      <c r="AC152" s="2150"/>
      <c r="AD152" s="2150"/>
      <c r="AE152" s="2150"/>
      <c r="AF152" s="2150"/>
      <c r="AG152" s="2150"/>
      <c r="AH152" s="2150"/>
      <c r="AI152" s="2150"/>
      <c r="AJ152" s="2150"/>
      <c r="AK152" s="2150"/>
      <c r="AL152" s="2150"/>
      <c r="AM152" s="2150"/>
      <c r="AN152" s="2150"/>
      <c r="AO152" s="2150"/>
      <c r="AP152" s="2150"/>
      <c r="AQ152" s="2150"/>
      <c r="AR152" s="2150"/>
      <c r="AS152" s="2150"/>
      <c r="AT152" s="2150"/>
      <c r="AU152" s="2150"/>
      <c r="AV152" s="2150"/>
      <c r="AW152" s="2150"/>
      <c r="AX152" s="215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9" t="s">
        <v>2352</v>
      </c>
      <c r="C156" s="2010"/>
      <c r="D156" s="2010"/>
      <c r="E156" s="2010"/>
      <c r="F156" s="2010"/>
      <c r="G156" s="2010"/>
      <c r="H156" s="2010"/>
      <c r="I156" s="2010"/>
      <c r="J156" s="2010"/>
      <c r="K156" s="2010"/>
      <c r="L156" s="2010"/>
      <c r="M156" s="2010"/>
      <c r="N156" s="2010"/>
      <c r="O156" s="2010"/>
      <c r="P156" s="2010"/>
      <c r="Q156" s="2010"/>
      <c r="R156" s="2010"/>
      <c r="S156" s="2010"/>
      <c r="T156" s="2010"/>
      <c r="U156" s="2011"/>
      <c r="V156" s="1190"/>
      <c r="W156" s="1192"/>
      <c r="X156" s="2009" t="s">
        <v>2351</v>
      </c>
      <c r="Y156" s="2010"/>
      <c r="Z156" s="2010"/>
      <c r="AA156" s="2010"/>
      <c r="AB156" s="2010"/>
      <c r="AC156" s="2010"/>
      <c r="AD156" s="2010"/>
      <c r="AE156" s="2010"/>
      <c r="AF156" s="2010"/>
      <c r="AG156" s="2010"/>
      <c r="AH156" s="2010"/>
      <c r="AI156" s="2010"/>
      <c r="AJ156" s="2010"/>
      <c r="AK156" s="2010"/>
      <c r="AL156" s="2010"/>
      <c r="AM156" s="2010"/>
      <c r="AN156" s="2010"/>
      <c r="AO156" s="2010"/>
      <c r="AP156" s="2010"/>
      <c r="AQ156" s="2011"/>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4"/>
      <c r="C157" s="2155"/>
      <c r="D157" s="2155"/>
      <c r="E157" s="2155"/>
      <c r="F157" s="2155"/>
      <c r="G157" s="2155"/>
      <c r="H157" s="2155"/>
      <c r="I157" s="2156" t="s">
        <v>2349</v>
      </c>
      <c r="J157" s="2156"/>
      <c r="K157" s="2156"/>
      <c r="L157" s="2156"/>
      <c r="M157" s="2156"/>
      <c r="N157" s="2156"/>
      <c r="O157" s="2156"/>
      <c r="P157" s="2156" t="s">
        <v>2350</v>
      </c>
      <c r="Q157" s="2156"/>
      <c r="R157" s="2156"/>
      <c r="S157" s="2156"/>
      <c r="T157" s="2156"/>
      <c r="U157" s="2157"/>
      <c r="V157" s="1190"/>
      <c r="W157" s="1190"/>
      <c r="X157" s="2154"/>
      <c r="Y157" s="2155"/>
      <c r="Z157" s="2155"/>
      <c r="AA157" s="2155"/>
      <c r="AB157" s="2155"/>
      <c r="AC157" s="2155"/>
      <c r="AD157" s="2155"/>
      <c r="AE157" s="2156" t="s">
        <v>2349</v>
      </c>
      <c r="AF157" s="2156"/>
      <c r="AG157" s="2156"/>
      <c r="AH157" s="2156"/>
      <c r="AI157" s="2156"/>
      <c r="AJ157" s="2156"/>
      <c r="AK157" s="2156"/>
      <c r="AL157" s="2156" t="s">
        <v>2348</v>
      </c>
      <c r="AM157" s="2156"/>
      <c r="AN157" s="2156"/>
      <c r="AO157" s="2156"/>
      <c r="AP157" s="2156"/>
      <c r="AQ157" s="2157"/>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4"/>
      <c r="C158" s="2155"/>
      <c r="D158" s="2155"/>
      <c r="E158" s="2155"/>
      <c r="F158" s="2155"/>
      <c r="G158" s="2155"/>
      <c r="H158" s="2155"/>
      <c r="I158" s="2156"/>
      <c r="J158" s="2156"/>
      <c r="K158" s="2156"/>
      <c r="L158" s="2156"/>
      <c r="M158" s="2156"/>
      <c r="N158" s="2156"/>
      <c r="O158" s="2156"/>
      <c r="P158" s="2156"/>
      <c r="Q158" s="2156"/>
      <c r="R158" s="2156"/>
      <c r="S158" s="2156"/>
      <c r="T158" s="2156"/>
      <c r="U158" s="2157"/>
      <c r="V158" s="1190"/>
      <c r="W158" s="1190"/>
      <c r="X158" s="2154"/>
      <c r="Y158" s="2155"/>
      <c r="Z158" s="2155"/>
      <c r="AA158" s="2155"/>
      <c r="AB158" s="2155"/>
      <c r="AC158" s="2155"/>
      <c r="AD158" s="2155"/>
      <c r="AE158" s="2156"/>
      <c r="AF158" s="2156"/>
      <c r="AG158" s="2156"/>
      <c r="AH158" s="2156"/>
      <c r="AI158" s="2156"/>
      <c r="AJ158" s="2156"/>
      <c r="AK158" s="2156"/>
      <c r="AL158" s="2156"/>
      <c r="AM158" s="2156"/>
      <c r="AN158" s="2156"/>
      <c r="AO158" s="2156"/>
      <c r="AP158" s="2156"/>
      <c r="AQ158" s="215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2" t="s">
        <v>2347</v>
      </c>
      <c r="C159" s="2113"/>
      <c r="D159" s="2113"/>
      <c r="E159" s="2113"/>
      <c r="F159" s="2113"/>
      <c r="G159" s="2113"/>
      <c r="H159" s="2113"/>
      <c r="I159" s="2089">
        <v>0</v>
      </c>
      <c r="J159" s="2089"/>
      <c r="K159" s="2089"/>
      <c r="L159" s="2089"/>
      <c r="M159" s="2089"/>
      <c r="N159" s="2089"/>
      <c r="O159" s="2089"/>
      <c r="P159" s="2089">
        <v>0</v>
      </c>
      <c r="Q159" s="2089"/>
      <c r="R159" s="2089"/>
      <c r="S159" s="2089"/>
      <c r="T159" s="2089"/>
      <c r="U159" s="2090"/>
      <c r="V159" s="1190"/>
      <c r="W159" s="1190"/>
      <c r="X159" s="2114" t="s">
        <v>2347</v>
      </c>
      <c r="Y159" s="2115"/>
      <c r="Z159" s="2115"/>
      <c r="AA159" s="2115"/>
      <c r="AB159" s="2115"/>
      <c r="AC159" s="2115"/>
      <c r="AD159" s="2115"/>
      <c r="AE159" s="2104">
        <v>0</v>
      </c>
      <c r="AF159" s="2104"/>
      <c r="AG159" s="2104"/>
      <c r="AH159" s="2104"/>
      <c r="AI159" s="2104"/>
      <c r="AJ159" s="2104"/>
      <c r="AK159" s="2104"/>
      <c r="AL159" s="2104">
        <v>0</v>
      </c>
      <c r="AM159" s="2104"/>
      <c r="AN159" s="2104"/>
      <c r="AO159" s="2104"/>
      <c r="AP159" s="2104"/>
      <c r="AQ159" s="210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4" t="s">
        <v>2346</v>
      </c>
      <c r="C160" s="2115"/>
      <c r="D160" s="2115"/>
      <c r="E160" s="2115"/>
      <c r="F160" s="2115"/>
      <c r="G160" s="2115"/>
      <c r="H160" s="2115"/>
      <c r="I160" s="2104">
        <v>0</v>
      </c>
      <c r="J160" s="2104"/>
      <c r="K160" s="2104"/>
      <c r="L160" s="2104"/>
      <c r="M160" s="2104"/>
      <c r="N160" s="2104"/>
      <c r="O160" s="2104"/>
      <c r="P160" s="2104">
        <v>0</v>
      </c>
      <c r="Q160" s="2104"/>
      <c r="R160" s="2104"/>
      <c r="S160" s="2104"/>
      <c r="T160" s="2104"/>
      <c r="U160" s="210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9" t="s">
        <v>2345</v>
      </c>
      <c r="D162" s="2010"/>
      <c r="E162" s="2010"/>
      <c r="F162" s="2010"/>
      <c r="G162" s="2010"/>
      <c r="H162" s="2010"/>
      <c r="I162" s="2010"/>
      <c r="J162" s="2010"/>
      <c r="K162" s="2010"/>
      <c r="L162" s="2010"/>
      <c r="M162" s="2010"/>
      <c r="N162" s="2010"/>
      <c r="O162" s="2010"/>
      <c r="P162" s="2010"/>
      <c r="Q162" s="2010"/>
      <c r="R162" s="2010"/>
      <c r="S162" s="2010"/>
      <c r="T162" s="2010"/>
      <c r="U162" s="2010"/>
      <c r="V162" s="2010"/>
      <c r="W162" s="2010"/>
      <c r="X162" s="2010"/>
      <c r="Y162" s="2010"/>
      <c r="Z162" s="2010"/>
      <c r="AA162" s="2010"/>
      <c r="AB162" s="2010"/>
      <c r="AC162" s="2010"/>
      <c r="AD162" s="2010"/>
      <c r="AE162" s="2010"/>
      <c r="AF162" s="2010"/>
      <c r="AG162" s="201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4" t="s">
        <v>2330</v>
      </c>
      <c r="D163" s="2155"/>
      <c r="E163" s="2155"/>
      <c r="F163" s="2155"/>
      <c r="G163" s="2155"/>
      <c r="H163" s="2155"/>
      <c r="I163" s="2155"/>
      <c r="J163" s="2155"/>
      <c r="K163" s="2155"/>
      <c r="L163" s="2155"/>
      <c r="M163" s="2155"/>
      <c r="N163" s="2155"/>
      <c r="O163" s="2155"/>
      <c r="P163" s="2155"/>
      <c r="Q163" s="2155" t="s">
        <v>2344</v>
      </c>
      <c r="R163" s="2155"/>
      <c r="S163" s="2155"/>
      <c r="T163" s="2100" t="s">
        <v>2343</v>
      </c>
      <c r="U163" s="2100"/>
      <c r="V163" s="2100"/>
      <c r="W163" s="2100"/>
      <c r="X163" s="2100"/>
      <c r="Y163" s="2100"/>
      <c r="Z163" s="2100"/>
      <c r="AA163" s="2100"/>
      <c r="AB163" s="2155" t="s">
        <v>2342</v>
      </c>
      <c r="AC163" s="2155"/>
      <c r="AD163" s="2155"/>
      <c r="AE163" s="2155"/>
      <c r="AF163" s="2155"/>
      <c r="AG163" s="216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8" t="s">
        <v>2341</v>
      </c>
      <c r="D164" s="2159"/>
      <c r="E164" s="2159"/>
      <c r="F164" s="2159"/>
      <c r="G164" s="2159"/>
      <c r="H164" s="2159"/>
      <c r="I164" s="2159"/>
      <c r="J164" s="2159"/>
      <c r="K164" s="2159"/>
      <c r="L164" s="2159"/>
      <c r="M164" s="2159"/>
      <c r="N164" s="2159"/>
      <c r="O164" s="2159"/>
      <c r="P164" s="2159"/>
      <c r="Q164" s="2160">
        <v>55</v>
      </c>
      <c r="R164" s="2160"/>
      <c r="S164" s="2160"/>
      <c r="T164" s="2161"/>
      <c r="U164" s="2161"/>
      <c r="V164" s="2161"/>
      <c r="W164" s="2161"/>
      <c r="X164" s="2161"/>
      <c r="Y164" s="2161"/>
      <c r="Z164" s="2161"/>
      <c r="AA164" s="2161"/>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8" t="s">
        <v>2340</v>
      </c>
      <c r="D165" s="2159"/>
      <c r="E165" s="2159"/>
      <c r="F165" s="2159"/>
      <c r="G165" s="2159"/>
      <c r="H165" s="2159"/>
      <c r="I165" s="2159"/>
      <c r="J165" s="2159"/>
      <c r="K165" s="2159"/>
      <c r="L165" s="2159"/>
      <c r="M165" s="2159"/>
      <c r="N165" s="2159"/>
      <c r="O165" s="2159"/>
      <c r="P165" s="2159"/>
      <c r="Q165" s="2160">
        <v>55</v>
      </c>
      <c r="R165" s="2160"/>
      <c r="S165" s="2160"/>
      <c r="T165" s="2162"/>
      <c r="U165" s="2162"/>
      <c r="V165" s="2162"/>
      <c r="W165" s="2162"/>
      <c r="X165" s="2162"/>
      <c r="Y165" s="2162"/>
      <c r="Z165" s="2162"/>
      <c r="AA165" s="21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8" t="s">
        <v>2339</v>
      </c>
      <c r="D166" s="2159"/>
      <c r="E166" s="2159"/>
      <c r="F166" s="2159"/>
      <c r="G166" s="2159"/>
      <c r="H166" s="2159"/>
      <c r="I166" s="2159"/>
      <c r="J166" s="2159"/>
      <c r="K166" s="2159"/>
      <c r="L166" s="2159"/>
      <c r="M166" s="2159"/>
      <c r="N166" s="2159"/>
      <c r="O166" s="2159"/>
      <c r="P166" s="2159"/>
      <c r="Q166" s="2160">
        <v>55</v>
      </c>
      <c r="R166" s="2160"/>
      <c r="S166" s="2160"/>
      <c r="T166" s="2161"/>
      <c r="U166" s="2161"/>
      <c r="V166" s="2161"/>
      <c r="W166" s="2161"/>
      <c r="X166" s="2161"/>
      <c r="Y166" s="2161"/>
      <c r="Z166" s="2161"/>
      <c r="AA166" s="216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8" t="s">
        <v>2338</v>
      </c>
      <c r="D167" s="2159"/>
      <c r="E167" s="2159"/>
      <c r="F167" s="2159"/>
      <c r="G167" s="2159"/>
      <c r="H167" s="2159"/>
      <c r="I167" s="2159"/>
      <c r="J167" s="2159"/>
      <c r="K167" s="2159"/>
      <c r="L167" s="2159"/>
      <c r="M167" s="2159"/>
      <c r="N167" s="2159"/>
      <c r="O167" s="2159"/>
      <c r="P167" s="2159"/>
      <c r="Q167" s="2160">
        <v>55</v>
      </c>
      <c r="R167" s="2160"/>
      <c r="S167" s="2160"/>
      <c r="T167" s="2161"/>
      <c r="U167" s="2161"/>
      <c r="V167" s="2161"/>
      <c r="W167" s="2161"/>
      <c r="X167" s="2161"/>
      <c r="Y167" s="2161"/>
      <c r="Z167" s="2161"/>
      <c r="AA167" s="2161"/>
      <c r="AB167" s="2164">
        <v>0</v>
      </c>
      <c r="AC167" s="2164"/>
      <c r="AD167" s="2164"/>
      <c r="AE167" s="2164"/>
      <c r="AF167" s="2164"/>
      <c r="AG167" s="216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8" t="s">
        <v>170</v>
      </c>
      <c r="D168" s="2159"/>
      <c r="E168" s="2159"/>
      <c r="F168" s="2166" t="s">
        <v>2319</v>
      </c>
      <c r="G168" s="2166"/>
      <c r="H168" s="2166"/>
      <c r="I168" s="2166"/>
      <c r="J168" s="2166"/>
      <c r="K168" s="2166"/>
      <c r="L168" s="2166"/>
      <c r="M168" s="2166"/>
      <c r="N168" s="2166"/>
      <c r="O168" s="2166"/>
      <c r="P168" s="2166"/>
      <c r="Q168" s="2160">
        <v>55</v>
      </c>
      <c r="R168" s="2160"/>
      <c r="S168" s="2160"/>
      <c r="T168" s="2162"/>
      <c r="U168" s="2162"/>
      <c r="V168" s="2162"/>
      <c r="W168" s="2162"/>
      <c r="X168" s="2162"/>
      <c r="Y168" s="2162"/>
      <c r="Z168" s="2162"/>
      <c r="AA168" s="2162"/>
      <c r="AB168" s="2164">
        <v>0</v>
      </c>
      <c r="AC168" s="2164"/>
      <c r="AD168" s="2164"/>
      <c r="AE168" s="2164"/>
      <c r="AF168" s="2164"/>
      <c r="AG168" s="216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8" t="s">
        <v>170</v>
      </c>
      <c r="D169" s="2159"/>
      <c r="E169" s="2159"/>
      <c r="F169" s="2166" t="s">
        <v>2319</v>
      </c>
      <c r="G169" s="2166"/>
      <c r="H169" s="2166"/>
      <c r="I169" s="2166"/>
      <c r="J169" s="2166"/>
      <c r="K169" s="2166"/>
      <c r="L169" s="2166"/>
      <c r="M169" s="2166"/>
      <c r="N169" s="2166"/>
      <c r="O169" s="2166"/>
      <c r="P169" s="2166"/>
      <c r="Q169" s="2160">
        <v>55</v>
      </c>
      <c r="R169" s="2160"/>
      <c r="S169" s="2160"/>
      <c r="T169" s="2162"/>
      <c r="U169" s="2162"/>
      <c r="V169" s="2162"/>
      <c r="W169" s="2162"/>
      <c r="X169" s="2162"/>
      <c r="Y169" s="2162"/>
      <c r="Z169" s="2162"/>
      <c r="AA169" s="2162"/>
      <c r="AB169" s="2164">
        <v>0</v>
      </c>
      <c r="AC169" s="2164"/>
      <c r="AD169" s="2164"/>
      <c r="AE169" s="2164"/>
      <c r="AF169" s="2164"/>
      <c r="AG169" s="216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7" t="s">
        <v>170</v>
      </c>
      <c r="D170" s="2168"/>
      <c r="E170" s="2168"/>
      <c r="F170" s="2169" t="s">
        <v>2319</v>
      </c>
      <c r="G170" s="2169"/>
      <c r="H170" s="2169"/>
      <c r="I170" s="2169"/>
      <c r="J170" s="2169"/>
      <c r="K170" s="2169"/>
      <c r="L170" s="2169"/>
      <c r="M170" s="2169"/>
      <c r="N170" s="2169"/>
      <c r="O170" s="2169"/>
      <c r="P170" s="2169"/>
      <c r="Q170" s="2170">
        <v>55</v>
      </c>
      <c r="R170" s="2170"/>
      <c r="S170" s="2170"/>
      <c r="T170" s="2171"/>
      <c r="U170" s="2171"/>
      <c r="V170" s="2171"/>
      <c r="W170" s="2171"/>
      <c r="X170" s="2171"/>
      <c r="Y170" s="2171"/>
      <c r="Z170" s="2171"/>
      <c r="AA170" s="2171"/>
      <c r="AB170" s="2172">
        <v>0</v>
      </c>
      <c r="AC170" s="2172"/>
      <c r="AD170" s="2172"/>
      <c r="AE170" s="2172"/>
      <c r="AF170" s="2172"/>
      <c r="AG170" s="217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8" t="s">
        <v>2337</v>
      </c>
      <c r="D172" s="2059"/>
      <c r="E172" s="2059"/>
      <c r="F172" s="2059"/>
      <c r="G172" s="2059"/>
      <c r="H172" s="2059"/>
      <c r="I172" s="2059"/>
      <c r="J172" s="2059"/>
      <c r="K172" s="2059"/>
      <c r="L172" s="2059"/>
      <c r="M172" s="2059"/>
      <c r="N172" s="2109"/>
      <c r="O172" s="1190"/>
      <c r="P172" s="2174" t="s">
        <v>2336</v>
      </c>
      <c r="Q172" s="2175"/>
      <c r="R172" s="2175"/>
      <c r="S172" s="2175"/>
      <c r="T172" s="2175"/>
      <c r="U172" s="2175"/>
      <c r="V172" s="2175"/>
      <c r="W172" s="2175"/>
      <c r="X172" s="2175"/>
      <c r="Y172" s="2175"/>
      <c r="Z172" s="2175"/>
      <c r="AA172" s="2175"/>
      <c r="AB172" s="2175"/>
      <c r="AC172" s="2175"/>
      <c r="AD172" s="2175"/>
      <c r="AE172" s="2175"/>
      <c r="AF172" s="2175"/>
      <c r="AG172" s="2175"/>
      <c r="AH172" s="2175"/>
      <c r="AI172" s="2175"/>
      <c r="AJ172" s="2175"/>
      <c r="AK172" s="2175"/>
      <c r="AL172" s="2175"/>
      <c r="AM172" s="2175"/>
      <c r="AN172" s="2175"/>
      <c r="AO172" s="217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4" t="s">
        <v>2335</v>
      </c>
      <c r="D173" s="2155"/>
      <c r="E173" s="2155"/>
      <c r="F173" s="2155"/>
      <c r="G173" s="2155"/>
      <c r="H173" s="2155"/>
      <c r="I173" s="2155" t="s">
        <v>2334</v>
      </c>
      <c r="J173" s="2155"/>
      <c r="K173" s="2155"/>
      <c r="L173" s="2155"/>
      <c r="M173" s="2155"/>
      <c r="N173" s="2163"/>
      <c r="O173" s="1190"/>
      <c r="P173" s="2078" t="s">
        <v>2333</v>
      </c>
      <c r="Q173" s="2079"/>
      <c r="R173" s="2079"/>
      <c r="S173" s="2079"/>
      <c r="T173" s="2079"/>
      <c r="U173" s="2079"/>
      <c r="V173" s="2079"/>
      <c r="W173" s="2079"/>
      <c r="X173" s="2079"/>
      <c r="Y173" s="2079"/>
      <c r="Z173" s="2079"/>
      <c r="AA173" s="2079"/>
      <c r="AB173" s="2079"/>
      <c r="AC173" s="2079"/>
      <c r="AD173" s="2079"/>
      <c r="AE173" s="2079"/>
      <c r="AF173" s="2079"/>
      <c r="AG173" s="2079"/>
      <c r="AH173" s="2079"/>
      <c r="AI173" s="2079"/>
      <c r="AJ173" s="2079"/>
      <c r="AK173" s="2079"/>
      <c r="AL173" s="2079"/>
      <c r="AM173" s="2079"/>
      <c r="AN173" s="2079"/>
      <c r="AO173" s="208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4"/>
      <c r="D174" s="2016"/>
      <c r="E174" s="2016"/>
      <c r="F174" s="2016"/>
      <c r="G174" s="2016"/>
      <c r="H174" s="2016"/>
      <c r="I174" s="2161"/>
      <c r="J174" s="2161"/>
      <c r="K174" s="2161"/>
      <c r="L174" s="2161"/>
      <c r="M174" s="2161"/>
      <c r="N174" s="2177"/>
      <c r="O174" s="1190"/>
      <c r="P174" s="2078"/>
      <c r="Q174" s="2079"/>
      <c r="R174" s="2079"/>
      <c r="S174" s="2079"/>
      <c r="T174" s="2079"/>
      <c r="U174" s="2079"/>
      <c r="V174" s="2079"/>
      <c r="W174" s="2079"/>
      <c r="X174" s="2079"/>
      <c r="Y174" s="2079"/>
      <c r="Z174" s="2079"/>
      <c r="AA174" s="2079"/>
      <c r="AB174" s="2079"/>
      <c r="AC174" s="2079"/>
      <c r="AD174" s="2079"/>
      <c r="AE174" s="2079"/>
      <c r="AF174" s="2079"/>
      <c r="AG174" s="2079"/>
      <c r="AH174" s="2079"/>
      <c r="AI174" s="2079"/>
      <c r="AJ174" s="2079"/>
      <c r="AK174" s="2079"/>
      <c r="AL174" s="2079"/>
      <c r="AM174" s="2079"/>
      <c r="AN174" s="2079"/>
      <c r="AO174" s="208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4"/>
      <c r="D175" s="2016"/>
      <c r="E175" s="2016"/>
      <c r="F175" s="2016"/>
      <c r="G175" s="2016"/>
      <c r="H175" s="2016"/>
      <c r="I175" s="2161"/>
      <c r="J175" s="2161"/>
      <c r="K175" s="2161"/>
      <c r="L175" s="2161"/>
      <c r="M175" s="2161"/>
      <c r="N175" s="2177"/>
      <c r="O175" s="1190"/>
      <c r="P175" s="2078"/>
      <c r="Q175" s="2079"/>
      <c r="R175" s="2079"/>
      <c r="S175" s="2079"/>
      <c r="T175" s="2079"/>
      <c r="U175" s="2079"/>
      <c r="V175" s="2079"/>
      <c r="W175" s="2079"/>
      <c r="X175" s="2079"/>
      <c r="Y175" s="2079"/>
      <c r="Z175" s="2079"/>
      <c r="AA175" s="2079"/>
      <c r="AB175" s="2079"/>
      <c r="AC175" s="2079"/>
      <c r="AD175" s="2079"/>
      <c r="AE175" s="2079"/>
      <c r="AF175" s="2079"/>
      <c r="AG175" s="2079"/>
      <c r="AH175" s="2079"/>
      <c r="AI175" s="2079"/>
      <c r="AJ175" s="2079"/>
      <c r="AK175" s="2079"/>
      <c r="AL175" s="2079"/>
      <c r="AM175" s="2079"/>
      <c r="AN175" s="2079"/>
      <c r="AO175" s="208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4"/>
      <c r="D176" s="2016"/>
      <c r="E176" s="2016"/>
      <c r="F176" s="2016"/>
      <c r="G176" s="2016"/>
      <c r="H176" s="2016"/>
      <c r="I176" s="2161"/>
      <c r="J176" s="2161"/>
      <c r="K176" s="2161"/>
      <c r="L176" s="2161"/>
      <c r="M176" s="2161"/>
      <c r="N176" s="2177"/>
      <c r="O176" s="1190"/>
      <c r="P176" s="2078"/>
      <c r="Q176" s="2079"/>
      <c r="R176" s="2079"/>
      <c r="S176" s="2079"/>
      <c r="T176" s="2079"/>
      <c r="U176" s="2079"/>
      <c r="V176" s="2079"/>
      <c r="W176" s="2079"/>
      <c r="X176" s="2079"/>
      <c r="Y176" s="2079"/>
      <c r="Z176" s="2079"/>
      <c r="AA176" s="2079"/>
      <c r="AB176" s="2079"/>
      <c r="AC176" s="2079"/>
      <c r="AD176" s="2079"/>
      <c r="AE176" s="2079"/>
      <c r="AF176" s="2079"/>
      <c r="AG176" s="2079"/>
      <c r="AH176" s="2079"/>
      <c r="AI176" s="2079"/>
      <c r="AJ176" s="2079"/>
      <c r="AK176" s="2079"/>
      <c r="AL176" s="2079"/>
      <c r="AM176" s="2079"/>
      <c r="AN176" s="2079"/>
      <c r="AO176" s="208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4"/>
      <c r="D177" s="2016"/>
      <c r="E177" s="2016"/>
      <c r="F177" s="2016"/>
      <c r="G177" s="2016"/>
      <c r="H177" s="2016"/>
      <c r="I177" s="2161"/>
      <c r="J177" s="2161"/>
      <c r="K177" s="2161"/>
      <c r="L177" s="2161"/>
      <c r="M177" s="2161"/>
      <c r="N177" s="2177"/>
      <c r="O177" s="1190"/>
      <c r="P177" s="2078"/>
      <c r="Q177" s="2079"/>
      <c r="R177" s="2079"/>
      <c r="S177" s="2079"/>
      <c r="T177" s="2079"/>
      <c r="U177" s="2079"/>
      <c r="V177" s="2079"/>
      <c r="W177" s="2079"/>
      <c r="X177" s="2079"/>
      <c r="Y177" s="2079"/>
      <c r="Z177" s="2079"/>
      <c r="AA177" s="2079"/>
      <c r="AB177" s="2079"/>
      <c r="AC177" s="2079"/>
      <c r="AD177" s="2079"/>
      <c r="AE177" s="2079"/>
      <c r="AF177" s="2079"/>
      <c r="AG177" s="2079"/>
      <c r="AH177" s="2079"/>
      <c r="AI177" s="2079"/>
      <c r="AJ177" s="2079"/>
      <c r="AK177" s="2079"/>
      <c r="AL177" s="2079"/>
      <c r="AM177" s="2079"/>
      <c r="AN177" s="2079"/>
      <c r="AO177" s="208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4"/>
      <c r="D178" s="2016"/>
      <c r="E178" s="2016"/>
      <c r="F178" s="2016"/>
      <c r="G178" s="2016"/>
      <c r="H178" s="2016"/>
      <c r="I178" s="2161"/>
      <c r="J178" s="2161"/>
      <c r="K178" s="2161"/>
      <c r="L178" s="2161"/>
      <c r="M178" s="2161"/>
      <c r="N178" s="2177"/>
      <c r="O178" s="1190"/>
      <c r="P178" s="2078"/>
      <c r="Q178" s="2079"/>
      <c r="R178" s="2079"/>
      <c r="S178" s="2079"/>
      <c r="T178" s="2079"/>
      <c r="U178" s="2079"/>
      <c r="V178" s="2079"/>
      <c r="W178" s="2079"/>
      <c r="X178" s="2079"/>
      <c r="Y178" s="2079"/>
      <c r="Z178" s="2079"/>
      <c r="AA178" s="2079"/>
      <c r="AB178" s="2079"/>
      <c r="AC178" s="2079"/>
      <c r="AD178" s="2079"/>
      <c r="AE178" s="2079"/>
      <c r="AF178" s="2079"/>
      <c r="AG178" s="2079"/>
      <c r="AH178" s="2079"/>
      <c r="AI178" s="2079"/>
      <c r="AJ178" s="2079"/>
      <c r="AK178" s="2079"/>
      <c r="AL178" s="2079"/>
      <c r="AM178" s="2079"/>
      <c r="AN178" s="2079"/>
      <c r="AO178" s="208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4"/>
      <c r="D179" s="2016"/>
      <c r="E179" s="2016"/>
      <c r="F179" s="2016"/>
      <c r="G179" s="2016"/>
      <c r="H179" s="2016"/>
      <c r="I179" s="2161"/>
      <c r="J179" s="2161"/>
      <c r="K179" s="2161"/>
      <c r="L179" s="2161"/>
      <c r="M179" s="2161"/>
      <c r="N179" s="2177"/>
      <c r="O179" s="1190"/>
      <c r="P179" s="2078"/>
      <c r="Q179" s="2079"/>
      <c r="R179" s="2079"/>
      <c r="S179" s="2079"/>
      <c r="T179" s="2079"/>
      <c r="U179" s="2079"/>
      <c r="V179" s="2079"/>
      <c r="W179" s="2079"/>
      <c r="X179" s="2079"/>
      <c r="Y179" s="2079"/>
      <c r="Z179" s="2079"/>
      <c r="AA179" s="2079"/>
      <c r="AB179" s="2079"/>
      <c r="AC179" s="2079"/>
      <c r="AD179" s="2079"/>
      <c r="AE179" s="2079"/>
      <c r="AF179" s="2079"/>
      <c r="AG179" s="2079"/>
      <c r="AH179" s="2079"/>
      <c r="AI179" s="2079"/>
      <c r="AJ179" s="2079"/>
      <c r="AK179" s="2079"/>
      <c r="AL179" s="2079"/>
      <c r="AM179" s="2079"/>
      <c r="AN179" s="2079"/>
      <c r="AO179" s="208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8"/>
      <c r="D180" s="2179"/>
      <c r="E180" s="2179"/>
      <c r="F180" s="2179"/>
      <c r="G180" s="2179"/>
      <c r="H180" s="2179"/>
      <c r="I180" s="2180"/>
      <c r="J180" s="2180"/>
      <c r="K180" s="2180"/>
      <c r="L180" s="2180"/>
      <c r="M180" s="2180"/>
      <c r="N180" s="2181"/>
      <c r="O180" s="1190"/>
      <c r="P180" s="2081"/>
      <c r="Q180" s="2082"/>
      <c r="R180" s="2082"/>
      <c r="S180" s="2082"/>
      <c r="T180" s="2082"/>
      <c r="U180" s="2082"/>
      <c r="V180" s="2082"/>
      <c r="W180" s="2082"/>
      <c r="X180" s="2082"/>
      <c r="Y180" s="2082"/>
      <c r="Z180" s="2082"/>
      <c r="AA180" s="2082"/>
      <c r="AB180" s="2082"/>
      <c r="AC180" s="2082"/>
      <c r="AD180" s="2082"/>
      <c r="AE180" s="2082"/>
      <c r="AF180" s="2082"/>
      <c r="AG180" s="2082"/>
      <c r="AH180" s="2082"/>
      <c r="AI180" s="2082"/>
      <c r="AJ180" s="2082"/>
      <c r="AK180" s="2082"/>
      <c r="AL180" s="2082"/>
      <c r="AM180" s="2082"/>
      <c r="AN180" s="2082"/>
      <c r="AO180" s="208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5" t="s">
        <v>2332</v>
      </c>
      <c r="D182" s="2186"/>
      <c r="E182" s="2186"/>
      <c r="F182" s="2186"/>
      <c r="G182" s="2186"/>
      <c r="H182" s="2186"/>
      <c r="I182" s="2186"/>
      <c r="J182" s="2186"/>
      <c r="K182" s="2186"/>
      <c r="L182" s="2186"/>
      <c r="M182" s="2186"/>
      <c r="N182" s="2186"/>
      <c r="O182" s="2186"/>
      <c r="P182" s="2186"/>
      <c r="Q182" s="2186"/>
      <c r="R182" s="2186"/>
      <c r="S182" s="2186"/>
      <c r="T182" s="2186"/>
      <c r="U182" s="2186"/>
      <c r="V182" s="2186"/>
      <c r="W182" s="2186"/>
      <c r="X182" s="2186"/>
      <c r="Y182" s="2186"/>
      <c r="Z182" s="2186"/>
      <c r="AA182" s="2186"/>
      <c r="AB182" s="2186"/>
      <c r="AC182" s="2186"/>
      <c r="AD182" s="2186"/>
      <c r="AE182" s="2187"/>
      <c r="AF182" s="1190"/>
      <c r="AG182" s="1190"/>
      <c r="AH182" s="2195"/>
      <c r="AI182" s="2195"/>
      <c r="AJ182" s="2195"/>
      <c r="AK182" s="2195"/>
      <c r="AL182" s="2195"/>
      <c r="AM182" s="2195"/>
      <c r="AN182" s="2195"/>
      <c r="AO182" s="2195"/>
      <c r="AP182" s="2195"/>
      <c r="AQ182" s="2195"/>
      <c r="AR182" s="2195"/>
      <c r="AS182" s="2195"/>
      <c r="AT182" s="2195"/>
      <c r="AU182" s="2195"/>
      <c r="AV182" s="2195"/>
      <c r="AW182" s="2195"/>
      <c r="AX182" s="2195"/>
      <c r="AY182" s="2195"/>
      <c r="AZ182" s="2195"/>
      <c r="BA182" s="2195"/>
      <c r="BB182" s="2195"/>
      <c r="BC182" s="2195"/>
      <c r="BD182" s="2195"/>
      <c r="BE182" s="2195"/>
    </row>
    <row r="183" spans="1:57" ht="15.75" customHeight="1" thickBot="1">
      <c r="A183" s="1190"/>
      <c r="B183" s="1190"/>
      <c r="C183" s="2188"/>
      <c r="D183" s="2189"/>
      <c r="E183" s="2189"/>
      <c r="F183" s="2189"/>
      <c r="G183" s="2189"/>
      <c r="H183" s="2189"/>
      <c r="I183" s="2189"/>
      <c r="J183" s="2189"/>
      <c r="K183" s="2189"/>
      <c r="L183" s="2189"/>
      <c r="M183" s="2189"/>
      <c r="N183" s="2189"/>
      <c r="O183" s="2189"/>
      <c r="P183" s="2189"/>
      <c r="Q183" s="2189"/>
      <c r="R183" s="2189"/>
      <c r="S183" s="2189"/>
      <c r="T183" s="2189"/>
      <c r="U183" s="2189"/>
      <c r="V183" s="2189"/>
      <c r="W183" s="2189"/>
      <c r="X183" s="2189"/>
      <c r="Y183" s="2189"/>
      <c r="Z183" s="2189"/>
      <c r="AA183" s="2189"/>
      <c r="AB183" s="2189"/>
      <c r="AC183" s="2189"/>
      <c r="AD183" s="2189"/>
      <c r="AE183" s="2190"/>
      <c r="AF183" s="1190"/>
      <c r="AG183" s="1190"/>
      <c r="AH183" s="2195"/>
      <c r="AI183" s="2195"/>
      <c r="AJ183" s="2195"/>
      <c r="AK183" s="2195"/>
      <c r="AL183" s="2195"/>
      <c r="AM183" s="2195"/>
      <c r="AN183" s="2195"/>
      <c r="AO183" s="2195"/>
      <c r="AP183" s="2195"/>
      <c r="AQ183" s="2195"/>
      <c r="AR183" s="2195"/>
      <c r="AS183" s="2195"/>
      <c r="AT183" s="2195"/>
      <c r="AU183" s="2195"/>
      <c r="AV183" s="2195"/>
      <c r="AW183" s="2195"/>
      <c r="AX183" s="2195"/>
      <c r="AY183" s="2195"/>
      <c r="AZ183" s="2195"/>
      <c r="BA183" s="2195"/>
      <c r="BB183" s="2195"/>
      <c r="BC183" s="2195"/>
      <c r="BD183" s="2195"/>
      <c r="BE183" s="2195"/>
    </row>
    <row r="184" spans="1:57" ht="15.75" customHeight="1">
      <c r="A184" s="1190"/>
      <c r="B184" s="1190"/>
      <c r="C184" s="2058" t="s">
        <v>2330</v>
      </c>
      <c r="D184" s="2059"/>
      <c r="E184" s="2059"/>
      <c r="F184" s="2059"/>
      <c r="G184" s="2059"/>
      <c r="H184" s="2059"/>
      <c r="I184" s="2059"/>
      <c r="J184" s="2059"/>
      <c r="K184" s="2059"/>
      <c r="L184" s="2059"/>
      <c r="M184" s="2059"/>
      <c r="N184" s="2059" t="s">
        <v>2331</v>
      </c>
      <c r="O184" s="2059"/>
      <c r="P184" s="2059"/>
      <c r="Q184" s="2059"/>
      <c r="R184" s="2059"/>
      <c r="S184" s="2059"/>
      <c r="T184" s="2059"/>
      <c r="U184" s="2010" t="s">
        <v>2330</v>
      </c>
      <c r="V184" s="2010"/>
      <c r="W184" s="2010"/>
      <c r="X184" s="2010"/>
      <c r="Y184" s="2010"/>
      <c r="Z184" s="2010"/>
      <c r="AA184" s="2010"/>
      <c r="AB184" s="2010"/>
      <c r="AC184" s="2010"/>
      <c r="AD184" s="2010"/>
      <c r="AE184" s="2011"/>
      <c r="AF184" s="1190"/>
      <c r="AG184" s="1190"/>
      <c r="AH184" s="2195"/>
      <c r="AI184" s="2195"/>
      <c r="AJ184" s="2195"/>
      <c r="AK184" s="2195"/>
      <c r="AL184" s="2195"/>
      <c r="AM184" s="2195"/>
      <c r="AN184" s="2195"/>
      <c r="AO184" s="2195"/>
      <c r="AP184" s="2195"/>
      <c r="AQ184" s="2195"/>
      <c r="AR184" s="2195"/>
      <c r="AS184" s="2195"/>
      <c r="AT184" s="2195"/>
      <c r="AU184" s="2195"/>
      <c r="AV184" s="2195"/>
      <c r="AW184" s="2195"/>
      <c r="AX184" s="2195"/>
      <c r="AY184" s="2195"/>
      <c r="AZ184" s="2195"/>
      <c r="BA184" s="2195"/>
      <c r="BB184" s="2195"/>
      <c r="BC184" s="2195"/>
      <c r="BD184" s="2195"/>
      <c r="BE184" s="2195"/>
    </row>
    <row r="185" spans="1:57" ht="15.75" customHeight="1">
      <c r="A185" s="1190"/>
      <c r="B185" s="1190"/>
      <c r="C185" s="2182" t="s">
        <v>2329</v>
      </c>
      <c r="D185" s="2183"/>
      <c r="E185" s="2183"/>
      <c r="F185" s="2183"/>
      <c r="G185" s="2183"/>
      <c r="H185" s="2183"/>
      <c r="I185" s="2183"/>
      <c r="J185" s="2183"/>
      <c r="K185" s="2183"/>
      <c r="L185" s="2183"/>
      <c r="M185" s="2183"/>
      <c r="N185" s="2184">
        <f>'Sources and Uses Budget'!B105</f>
        <v>49406004</v>
      </c>
      <c r="O185" s="2184"/>
      <c r="P185" s="2184"/>
      <c r="Q185" s="2184"/>
      <c r="R185" s="2184"/>
      <c r="S185" s="2184"/>
      <c r="T185" s="2184"/>
      <c r="U185" s="2196"/>
      <c r="V185" s="2196"/>
      <c r="W185" s="2196"/>
      <c r="X185" s="2196"/>
      <c r="Y185" s="2196"/>
      <c r="Z185" s="2196"/>
      <c r="AA185" s="2196"/>
      <c r="AB185" s="2196"/>
      <c r="AC185" s="2196"/>
      <c r="AD185" s="2196"/>
      <c r="AE185" s="2197"/>
      <c r="AF185" s="1190"/>
      <c r="AG185" s="1190"/>
      <c r="AH185" s="2195"/>
      <c r="AI185" s="2195"/>
      <c r="AJ185" s="2195"/>
      <c r="AK185" s="2195"/>
      <c r="AL185" s="2195"/>
      <c r="AM185" s="2195"/>
      <c r="AN185" s="2195"/>
      <c r="AO185" s="2195"/>
      <c r="AP185" s="2195"/>
      <c r="AQ185" s="2195"/>
      <c r="AR185" s="2195"/>
      <c r="AS185" s="2195"/>
      <c r="AT185" s="2195"/>
      <c r="AU185" s="2195"/>
      <c r="AV185" s="2195"/>
      <c r="AW185" s="2195"/>
      <c r="AX185" s="2195"/>
      <c r="AY185" s="2195"/>
      <c r="AZ185" s="2195"/>
      <c r="BA185" s="2195"/>
      <c r="BB185" s="2195"/>
      <c r="BC185" s="2195"/>
      <c r="BD185" s="2195"/>
      <c r="BE185" s="2195"/>
    </row>
    <row r="186" spans="1:57" ht="15.75" customHeight="1">
      <c r="A186" s="1190"/>
      <c r="B186" s="1190"/>
      <c r="C186" s="2182" t="s">
        <v>2328</v>
      </c>
      <c r="D186" s="2183"/>
      <c r="E186" s="2183"/>
      <c r="F186" s="2183"/>
      <c r="G186" s="2183"/>
      <c r="H186" s="2183"/>
      <c r="I186" s="2183"/>
      <c r="J186" s="2183"/>
      <c r="K186" s="2183"/>
      <c r="L186" s="2183"/>
      <c r="M186" s="2183"/>
      <c r="N186" s="2184">
        <f>N185/J29</f>
        <v>548955.6</v>
      </c>
      <c r="O186" s="2184"/>
      <c r="P186" s="2184"/>
      <c r="Q186" s="2184"/>
      <c r="R186" s="2184"/>
      <c r="S186" s="2184"/>
      <c r="T186" s="2184"/>
      <c r="U186" s="1228"/>
      <c r="V186" s="1228"/>
      <c r="W186" s="1228"/>
      <c r="X186" s="1228"/>
      <c r="Y186" s="1228"/>
      <c r="Z186" s="1228"/>
      <c r="AA186" s="1228"/>
      <c r="AB186" s="1228"/>
      <c r="AC186" s="1228"/>
      <c r="AD186" s="1228"/>
      <c r="AE186" s="1229"/>
      <c r="AF186" s="1190"/>
      <c r="AG186" s="1190"/>
      <c r="AH186" s="2195"/>
      <c r="AI186" s="2195"/>
      <c r="AJ186" s="2195"/>
      <c r="AK186" s="2195"/>
      <c r="AL186" s="2195"/>
      <c r="AM186" s="2195"/>
      <c r="AN186" s="2195"/>
      <c r="AO186" s="2195"/>
      <c r="AP186" s="2195"/>
      <c r="AQ186" s="2195"/>
      <c r="AR186" s="2195"/>
      <c r="AS186" s="2195"/>
      <c r="AT186" s="2195"/>
      <c r="AU186" s="2195"/>
      <c r="AV186" s="2195"/>
      <c r="AW186" s="2195"/>
      <c r="AX186" s="2195"/>
      <c r="AY186" s="2195"/>
      <c r="AZ186" s="2195"/>
      <c r="BA186" s="2195"/>
      <c r="BB186" s="2195"/>
      <c r="BC186" s="2195"/>
      <c r="BD186" s="2195"/>
      <c r="BE186" s="2195"/>
    </row>
    <row r="187" spans="1:57" ht="15.75" customHeight="1">
      <c r="A187" s="1190"/>
      <c r="B187" s="1190"/>
      <c r="C187" s="2198" t="s">
        <v>2327</v>
      </c>
      <c r="D187" s="2199"/>
      <c r="E187" s="2199"/>
      <c r="F187" s="2199"/>
      <c r="G187" s="2199"/>
      <c r="H187" s="2199"/>
      <c r="I187" s="2199"/>
      <c r="J187" s="2199"/>
      <c r="K187" s="2199"/>
      <c r="L187" s="2199"/>
      <c r="M187" s="2199"/>
      <c r="N187" s="2052">
        <v>0</v>
      </c>
      <c r="O187" s="2052"/>
      <c r="P187" s="2052"/>
      <c r="Q187" s="2052"/>
      <c r="R187" s="2052"/>
      <c r="S187" s="2052"/>
      <c r="T187" s="2052"/>
      <c r="U187" s="2028"/>
      <c r="V187" s="2028"/>
      <c r="W187" s="2028"/>
      <c r="X187" s="2028"/>
      <c r="Y187" s="2028"/>
      <c r="Z187" s="2028"/>
      <c r="AA187" s="2028"/>
      <c r="AB187" s="2028"/>
      <c r="AC187" s="2028"/>
      <c r="AD187" s="2028"/>
      <c r="AE187" s="2029"/>
      <c r="AF187" s="1190"/>
      <c r="AG187" s="1190"/>
      <c r="AH187" s="2195"/>
      <c r="AI187" s="2195"/>
      <c r="AJ187" s="2195"/>
      <c r="AK187" s="2195"/>
      <c r="AL187" s="2195"/>
      <c r="AM187" s="2195"/>
      <c r="AN187" s="2195"/>
      <c r="AO187" s="2195"/>
      <c r="AP187" s="2195"/>
      <c r="AQ187" s="2195"/>
      <c r="AR187" s="2195"/>
      <c r="AS187" s="2195"/>
      <c r="AT187" s="2195"/>
      <c r="AU187" s="2195"/>
      <c r="AV187" s="2195"/>
      <c r="AW187" s="2195"/>
      <c r="AX187" s="2195"/>
      <c r="AY187" s="2195"/>
      <c r="AZ187" s="2195"/>
      <c r="BA187" s="2195"/>
      <c r="BB187" s="2195"/>
      <c r="BC187" s="2195"/>
      <c r="BD187" s="2195"/>
      <c r="BE187" s="2195"/>
    </row>
    <row r="188" spans="1:57" ht="15.75" customHeight="1" thickBot="1">
      <c r="A188" s="1190"/>
      <c r="B188" s="1190"/>
      <c r="C188" s="2182" t="s">
        <v>2326</v>
      </c>
      <c r="D188" s="2183"/>
      <c r="E188" s="2183"/>
      <c r="F188" s="2183"/>
      <c r="G188" s="2183"/>
      <c r="H188" s="2183"/>
      <c r="I188" s="2183"/>
      <c r="J188" s="2183"/>
      <c r="K188" s="2183"/>
      <c r="L188" s="2183"/>
      <c r="M188" s="2183"/>
      <c r="N188" s="2200">
        <f>SUM('Sources and Uses Budget'!B85:B86)</f>
        <v>3244474</v>
      </c>
      <c r="O188" s="2200"/>
      <c r="P188" s="2200"/>
      <c r="Q188" s="2200"/>
      <c r="R188" s="2200"/>
      <c r="S188" s="2200"/>
      <c r="T188" s="2200"/>
      <c r="U188" s="2028"/>
      <c r="V188" s="2028"/>
      <c r="W188" s="2028"/>
      <c r="X188" s="2028"/>
      <c r="Y188" s="2028"/>
      <c r="Z188" s="2028"/>
      <c r="AA188" s="2028"/>
      <c r="AB188" s="2028"/>
      <c r="AC188" s="2028"/>
      <c r="AD188" s="2028"/>
      <c r="AE188" s="2029"/>
      <c r="AF188" s="1190"/>
      <c r="AG188" s="1190"/>
      <c r="AH188" s="2195"/>
      <c r="AI188" s="2195"/>
      <c r="AJ188" s="2195"/>
      <c r="AK188" s="2195"/>
      <c r="AL188" s="2195"/>
      <c r="AM188" s="2195"/>
      <c r="AN188" s="2195"/>
      <c r="AO188" s="2195"/>
      <c r="AP188" s="2195"/>
      <c r="AQ188" s="2195"/>
      <c r="AR188" s="2195"/>
      <c r="AS188" s="2195"/>
      <c r="AT188" s="2195"/>
      <c r="AU188" s="2195"/>
      <c r="AV188" s="2195"/>
      <c r="AW188" s="2195"/>
      <c r="AX188" s="2195"/>
      <c r="AY188" s="2195"/>
      <c r="AZ188" s="2195"/>
      <c r="BA188" s="2195"/>
      <c r="BB188" s="2195"/>
      <c r="BC188" s="2195"/>
      <c r="BD188" s="2195"/>
      <c r="BE188" s="2195"/>
    </row>
    <row r="189" spans="1:57" ht="15.75" customHeight="1" thickBot="1">
      <c r="A189" s="1190"/>
      <c r="B189" s="1190"/>
      <c r="C189" s="2182" t="s">
        <v>2325</v>
      </c>
      <c r="D189" s="2183"/>
      <c r="E189" s="2183"/>
      <c r="F189" s="2183"/>
      <c r="G189" s="2183"/>
      <c r="H189" s="2183"/>
      <c r="I189" s="2183"/>
      <c r="J189" s="2183"/>
      <c r="K189" s="2183"/>
      <c r="L189" s="2183"/>
      <c r="M189" s="2183"/>
      <c r="N189" s="2200">
        <f>'Sources and Uses Budget'!B8</f>
        <v>1</v>
      </c>
      <c r="O189" s="2200"/>
      <c r="P189" s="2200"/>
      <c r="Q189" s="2200"/>
      <c r="R189" s="2200"/>
      <c r="S189" s="2200"/>
      <c r="T189" s="2200"/>
      <c r="U189" s="2028"/>
      <c r="V189" s="2028"/>
      <c r="W189" s="2028"/>
      <c r="X189" s="2028"/>
      <c r="Y189" s="2028"/>
      <c r="Z189" s="2028"/>
      <c r="AA189" s="2028"/>
      <c r="AB189" s="2028"/>
      <c r="AC189" s="2028"/>
      <c r="AD189" s="2028"/>
      <c r="AE189" s="2029"/>
      <c r="AF189" s="1190"/>
      <c r="AG189" s="1190"/>
      <c r="AH189" s="2204" t="s">
        <v>2323</v>
      </c>
      <c r="AI189" s="2205"/>
      <c r="AJ189" s="2205"/>
      <c r="AK189" s="2205"/>
      <c r="AL189" s="2205"/>
      <c r="AM189" s="2205"/>
      <c r="AN189" s="2205"/>
      <c r="AO189" s="2205"/>
      <c r="AP189" s="2205"/>
      <c r="AQ189" s="2205"/>
      <c r="AR189" s="2205"/>
      <c r="AS189" s="2205"/>
      <c r="AT189" s="2205"/>
      <c r="AU189" s="2205"/>
      <c r="AV189" s="2205"/>
      <c r="AW189" s="2205"/>
      <c r="AX189" s="2205"/>
      <c r="AY189" s="2205"/>
      <c r="AZ189" s="2205"/>
      <c r="BA189" s="2205"/>
      <c r="BB189" s="2205"/>
      <c r="BC189" s="2205"/>
      <c r="BD189" s="2205"/>
      <c r="BE189" s="2206"/>
    </row>
    <row r="190" spans="1:57" ht="15.75" customHeight="1">
      <c r="A190" s="1190"/>
      <c r="B190" s="1190"/>
      <c r="C190" s="2182" t="s">
        <v>2324</v>
      </c>
      <c r="D190" s="2183"/>
      <c r="E190" s="2183"/>
      <c r="F190" s="2183"/>
      <c r="G190" s="2183"/>
      <c r="H190" s="2183"/>
      <c r="I190" s="2183"/>
      <c r="J190" s="2183"/>
      <c r="K190" s="2183"/>
      <c r="L190" s="2183"/>
      <c r="M190" s="2183"/>
      <c r="N190" s="2191">
        <v>0</v>
      </c>
      <c r="O190" s="2191"/>
      <c r="P190" s="2191"/>
      <c r="Q190" s="2191"/>
      <c r="R190" s="2191"/>
      <c r="S190" s="2191"/>
      <c r="T190" s="2191"/>
      <c r="U190" s="2028"/>
      <c r="V190" s="2028"/>
      <c r="W190" s="2028"/>
      <c r="X190" s="2028"/>
      <c r="Y190" s="2028"/>
      <c r="Z190" s="2028"/>
      <c r="AA190" s="2028"/>
      <c r="AB190" s="2028"/>
      <c r="AC190" s="2028"/>
      <c r="AD190" s="2028"/>
      <c r="AE190" s="2029"/>
      <c r="AF190" s="1190"/>
      <c r="AG190" s="1190"/>
      <c r="AH190" s="2207" t="s">
        <v>2323</v>
      </c>
      <c r="AI190" s="2208"/>
      <c r="AJ190" s="2208"/>
      <c r="AK190" s="2208"/>
      <c r="AL190" s="2208"/>
      <c r="AM190" s="2208"/>
      <c r="AN190" s="2208"/>
      <c r="AO190" s="2208"/>
      <c r="AP190" s="2208"/>
      <c r="AQ190" s="2208"/>
      <c r="AR190" s="2208"/>
      <c r="AS190" s="2208"/>
      <c r="AT190" s="2208"/>
      <c r="AU190" s="2209">
        <v>0</v>
      </c>
      <c r="AV190" s="2209"/>
      <c r="AW190" s="2209"/>
      <c r="AX190" s="2209"/>
      <c r="AY190" s="2209"/>
      <c r="AZ190" s="2209"/>
      <c r="BA190" s="2209"/>
      <c r="BB190" s="2209"/>
      <c r="BC190" s="2210"/>
      <c r="BD190" s="2211"/>
      <c r="BE190" s="2212"/>
    </row>
    <row r="191" spans="1:57" ht="15.75" customHeight="1">
      <c r="A191" s="1190"/>
      <c r="B191" s="1190"/>
      <c r="C191" s="2182" t="s">
        <v>2322</v>
      </c>
      <c r="D191" s="2183"/>
      <c r="E191" s="2183"/>
      <c r="F191" s="2183"/>
      <c r="G191" s="2183"/>
      <c r="H191" s="2183"/>
      <c r="I191" s="2183"/>
      <c r="J191" s="2183"/>
      <c r="K191" s="2183"/>
      <c r="L191" s="2183"/>
      <c r="M191" s="2183"/>
      <c r="N191" s="2191">
        <v>0</v>
      </c>
      <c r="O191" s="2191"/>
      <c r="P191" s="2191"/>
      <c r="Q191" s="2191"/>
      <c r="R191" s="2191"/>
      <c r="S191" s="2191"/>
      <c r="T191" s="2191"/>
      <c r="U191" s="2028"/>
      <c r="V191" s="2028"/>
      <c r="W191" s="2028"/>
      <c r="X191" s="2028"/>
      <c r="Y191" s="2028"/>
      <c r="Z191" s="2028"/>
      <c r="AA191" s="2028"/>
      <c r="AB191" s="2028"/>
      <c r="AC191" s="2028"/>
      <c r="AD191" s="2028"/>
      <c r="AE191" s="2029"/>
      <c r="AF191" s="1190"/>
      <c r="AG191" s="1190"/>
      <c r="AH191" s="2192" t="s">
        <v>2321</v>
      </c>
      <c r="AI191" s="2193"/>
      <c r="AJ191" s="2193"/>
      <c r="AK191" s="2193"/>
      <c r="AL191" s="2193"/>
      <c r="AM191" s="2193"/>
      <c r="AN191" s="2193"/>
      <c r="AO191" s="2193"/>
      <c r="AP191" s="2193"/>
      <c r="AQ191" s="2193"/>
      <c r="AR191" s="2193"/>
      <c r="AS191" s="2193"/>
      <c r="AT191" s="2193"/>
      <c r="AU191" s="2194"/>
      <c r="AV191" s="2194"/>
      <c r="AW191" s="2194"/>
      <c r="AX191" s="2194"/>
      <c r="AY191" s="2194"/>
      <c r="AZ191" s="2194"/>
      <c r="BA191" s="2194"/>
      <c r="BB191" s="2194"/>
      <c r="BC191" s="2201"/>
      <c r="BD191" s="2202"/>
      <c r="BE191" s="2203"/>
    </row>
    <row r="192" spans="1:57" ht="15.75" customHeight="1">
      <c r="A192" s="1190"/>
      <c r="B192" s="1190"/>
      <c r="C192" s="2217" t="s">
        <v>300</v>
      </c>
      <c r="D192" s="2160"/>
      <c r="E192" s="2213" t="s">
        <v>2319</v>
      </c>
      <c r="F192" s="2213"/>
      <c r="G192" s="2213"/>
      <c r="H192" s="2213"/>
      <c r="I192" s="2213"/>
      <c r="J192" s="2213"/>
      <c r="K192" s="2213"/>
      <c r="L192" s="2213"/>
      <c r="M192" s="2213"/>
      <c r="N192" s="2191">
        <v>0</v>
      </c>
      <c r="O192" s="2191"/>
      <c r="P192" s="2191"/>
      <c r="Q192" s="2191"/>
      <c r="R192" s="2191"/>
      <c r="S192" s="2191"/>
      <c r="T192" s="2191"/>
      <c r="U192" s="2028"/>
      <c r="V192" s="2028"/>
      <c r="W192" s="2028"/>
      <c r="X192" s="2028"/>
      <c r="Y192" s="2028"/>
      <c r="Z192" s="2028"/>
      <c r="AA192" s="2028"/>
      <c r="AB192" s="2028"/>
      <c r="AC192" s="2028"/>
      <c r="AD192" s="2028"/>
      <c r="AE192" s="2029"/>
      <c r="AF192" s="1190"/>
      <c r="AG192" s="1190"/>
      <c r="AH192" s="2218" t="s">
        <v>2320</v>
      </c>
      <c r="AI192" s="2219"/>
      <c r="AJ192" s="2219"/>
      <c r="AK192" s="2219"/>
      <c r="AL192" s="2219"/>
      <c r="AM192" s="2219"/>
      <c r="AN192" s="2219"/>
      <c r="AO192" s="2219"/>
      <c r="AP192" s="2219"/>
      <c r="AQ192" s="2219"/>
      <c r="AR192" s="2219"/>
      <c r="AS192" s="2219"/>
      <c r="AT192" s="2219"/>
      <c r="AU192" s="2220">
        <f>SUM(AU190:BB191)</f>
        <v>0</v>
      </c>
      <c r="AV192" s="2220"/>
      <c r="AW192" s="2220"/>
      <c r="AX192" s="2220"/>
      <c r="AY192" s="2220"/>
      <c r="AZ192" s="2220"/>
      <c r="BA192" s="2220"/>
      <c r="BB192" s="2220"/>
      <c r="BC192" s="2201"/>
      <c r="BD192" s="2202"/>
      <c r="BE192" s="2203"/>
    </row>
    <row r="193" spans="1:57" ht="15.75" customHeight="1" thickBot="1">
      <c r="A193" s="1190"/>
      <c r="B193" s="1190"/>
      <c r="C193" s="2084" t="s">
        <v>300</v>
      </c>
      <c r="D193" s="2016"/>
      <c r="E193" s="2213" t="s">
        <v>2319</v>
      </c>
      <c r="F193" s="2213"/>
      <c r="G193" s="2213"/>
      <c r="H193" s="2213"/>
      <c r="I193" s="2213"/>
      <c r="J193" s="2213"/>
      <c r="K193" s="2213"/>
      <c r="L193" s="2213"/>
      <c r="M193" s="2213"/>
      <c r="N193" s="2191">
        <v>0</v>
      </c>
      <c r="O193" s="2191"/>
      <c r="P193" s="2191"/>
      <c r="Q193" s="2191"/>
      <c r="R193" s="2191"/>
      <c r="S193" s="2191"/>
      <c r="T193" s="2191"/>
      <c r="U193" s="2028"/>
      <c r="V193" s="2028"/>
      <c r="W193" s="2028"/>
      <c r="X193" s="2028"/>
      <c r="Y193" s="2028"/>
      <c r="Z193" s="2028"/>
      <c r="AA193" s="2028"/>
      <c r="AB193" s="2028"/>
      <c r="AC193" s="2028"/>
      <c r="AD193" s="2028"/>
      <c r="AE193" s="202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4"/>
      <c r="BD193" s="2215"/>
      <c r="BE193" s="2216"/>
    </row>
    <row r="194" spans="1:57" ht="15.75" customHeight="1" thickBot="1">
      <c r="A194" s="1190"/>
      <c r="B194" s="1190"/>
      <c r="C194" s="2238" t="s">
        <v>300</v>
      </c>
      <c r="D194" s="2239"/>
      <c r="E194" s="2240" t="s">
        <v>2319</v>
      </c>
      <c r="F194" s="2240"/>
      <c r="G194" s="2240"/>
      <c r="H194" s="2240"/>
      <c r="I194" s="2240"/>
      <c r="J194" s="2240"/>
      <c r="K194" s="2240"/>
      <c r="L194" s="2240"/>
      <c r="M194" s="2241"/>
      <c r="N194" s="2242">
        <v>0</v>
      </c>
      <c r="O194" s="2242"/>
      <c r="P194" s="2242"/>
      <c r="Q194" s="2242"/>
      <c r="R194" s="2242"/>
      <c r="S194" s="2242"/>
      <c r="T194" s="2243"/>
      <c r="U194" s="2244"/>
      <c r="V194" s="2245"/>
      <c r="W194" s="2245"/>
      <c r="X194" s="2245"/>
      <c r="Y194" s="2245"/>
      <c r="Z194" s="2245"/>
      <c r="AA194" s="2245"/>
      <c r="AB194" s="2245"/>
      <c r="AC194" s="2245"/>
      <c r="AD194" s="2245"/>
      <c r="AE194" s="2246"/>
      <c r="AF194" s="1190"/>
      <c r="AG194" s="1190"/>
      <c r="AH194" s="2247" t="s">
        <v>2318</v>
      </c>
      <c r="AI194" s="2248"/>
      <c r="AJ194" s="2248"/>
      <c r="AK194" s="2248"/>
      <c r="AL194" s="2248"/>
      <c r="AM194" s="2248"/>
      <c r="AN194" s="2248"/>
      <c r="AO194" s="2248"/>
      <c r="AP194" s="2248"/>
      <c r="AQ194" s="2248"/>
      <c r="AR194" s="2248"/>
      <c r="AS194" s="2248"/>
      <c r="AT194" s="2248"/>
      <c r="AU194" s="2249"/>
      <c r="AV194" s="2249"/>
      <c r="AW194" s="2249"/>
      <c r="AX194" s="2249"/>
      <c r="AY194" s="2249"/>
      <c r="AZ194" s="2249"/>
      <c r="BA194" s="2249"/>
      <c r="BB194" s="2249"/>
      <c r="BC194" s="1171"/>
      <c r="BD194" s="1171"/>
      <c r="BE194" s="1232"/>
    </row>
    <row r="195" spans="1:57" ht="15.75" customHeight="1">
      <c r="A195" s="1190"/>
      <c r="B195" s="1190"/>
      <c r="C195" s="2221" t="s">
        <v>2317</v>
      </c>
      <c r="D195" s="2222"/>
      <c r="E195" s="2222"/>
      <c r="F195" s="2222"/>
      <c r="G195" s="2222"/>
      <c r="H195" s="2222"/>
      <c r="I195" s="2222"/>
      <c r="J195" s="2222"/>
      <c r="K195" s="2222"/>
      <c r="L195" s="2222"/>
      <c r="M195" s="2222"/>
      <c r="N195" s="2223">
        <f>SUM(N187:T194)</f>
        <v>3244475</v>
      </c>
      <c r="O195" s="2223"/>
      <c r="P195" s="2223"/>
      <c r="Q195" s="2223"/>
      <c r="R195" s="2223"/>
      <c r="S195" s="2223"/>
      <c r="T195" s="2224"/>
      <c r="U195" s="1190"/>
      <c r="V195" s="1190"/>
      <c r="W195" s="1190"/>
      <c r="X195" s="1190"/>
      <c r="Y195" s="1190"/>
      <c r="Z195" s="1190"/>
      <c r="AA195" s="1190"/>
      <c r="AB195" s="1190"/>
      <c r="AC195" s="1190"/>
      <c r="AD195" s="1190"/>
      <c r="AE195" s="1190"/>
      <c r="AF195" s="1190"/>
      <c r="AG195" s="1190"/>
      <c r="AH195" s="2225" t="s">
        <v>2316</v>
      </c>
      <c r="AI195" s="2226"/>
      <c r="AJ195" s="2226"/>
      <c r="AK195" s="2226"/>
      <c r="AL195" s="2226"/>
      <c r="AM195" s="2226"/>
      <c r="AN195" s="2226"/>
      <c r="AO195" s="2226"/>
      <c r="AP195" s="2226"/>
      <c r="AQ195" s="2226"/>
      <c r="AR195" s="2226"/>
      <c r="AS195" s="2226"/>
      <c r="AT195" s="2226"/>
      <c r="AU195" s="2226"/>
      <c r="AV195" s="2226"/>
      <c r="AW195" s="2226"/>
      <c r="AX195" s="2226"/>
      <c r="AY195" s="2226"/>
      <c r="AZ195" s="2226"/>
      <c r="BA195" s="2226"/>
      <c r="BB195" s="2226"/>
      <c r="BC195" s="2226"/>
      <c r="BD195" s="2226"/>
      <c r="BE195" s="2227"/>
    </row>
    <row r="196" spans="1:57" ht="15.75" customHeight="1" thickBot="1">
      <c r="A196" s="1190"/>
      <c r="B196" s="1190"/>
      <c r="C196" s="2231" t="s">
        <v>2315</v>
      </c>
      <c r="D196" s="2232"/>
      <c r="E196" s="2232"/>
      <c r="F196" s="2232"/>
      <c r="G196" s="2232"/>
      <c r="H196" s="2232"/>
      <c r="I196" s="2232"/>
      <c r="J196" s="2232"/>
      <c r="K196" s="2232"/>
      <c r="L196" s="2232"/>
      <c r="M196" s="2232"/>
      <c r="N196" s="2233">
        <f>(N185-N195)/J29</f>
        <v>512905.87777777779</v>
      </c>
      <c r="O196" s="2234"/>
      <c r="P196" s="2234"/>
      <c r="Q196" s="2234"/>
      <c r="R196" s="2234"/>
      <c r="S196" s="2234"/>
      <c r="T196" s="2235"/>
      <c r="U196" s="1195"/>
      <c r="V196" s="1190"/>
      <c r="W196" s="1190"/>
      <c r="X196" s="1190"/>
      <c r="Y196" s="1190"/>
      <c r="Z196" s="1190"/>
      <c r="AA196" s="1190"/>
      <c r="AB196" s="1190"/>
      <c r="AC196" s="1190"/>
      <c r="AD196" s="1190"/>
      <c r="AE196" s="1190"/>
      <c r="AF196" s="1190"/>
      <c r="AG196" s="1190"/>
      <c r="AH196" s="2228"/>
      <c r="AI196" s="2229"/>
      <c r="AJ196" s="2229"/>
      <c r="AK196" s="2229"/>
      <c r="AL196" s="2229"/>
      <c r="AM196" s="2229"/>
      <c r="AN196" s="2229"/>
      <c r="AO196" s="2229"/>
      <c r="AP196" s="2229"/>
      <c r="AQ196" s="2229"/>
      <c r="AR196" s="2229"/>
      <c r="AS196" s="2229"/>
      <c r="AT196" s="2229"/>
      <c r="AU196" s="2229"/>
      <c r="AV196" s="2229"/>
      <c r="AW196" s="2229"/>
      <c r="AX196" s="2229"/>
      <c r="AY196" s="2229"/>
      <c r="AZ196" s="2229"/>
      <c r="BA196" s="2229"/>
      <c r="BB196" s="2229"/>
      <c r="BC196" s="2229"/>
      <c r="BD196" s="2229"/>
      <c r="BE196" s="223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6"/>
      <c r="AI197" s="2236"/>
      <c r="AJ197" s="2236"/>
      <c r="AK197" s="2236"/>
      <c r="AL197" s="2236"/>
      <c r="AM197" s="2236"/>
      <c r="AN197" s="2236"/>
      <c r="AO197" s="2236"/>
      <c r="AP197" s="2236"/>
      <c r="AQ197" s="2236"/>
      <c r="AR197" s="2236"/>
      <c r="AS197" s="2237"/>
      <c r="AT197" s="2237"/>
      <c r="AU197" s="2237"/>
      <c r="AV197" s="2237"/>
      <c r="AW197" s="2237"/>
      <c r="AX197" s="2237"/>
      <c r="AY197" s="2237"/>
      <c r="AZ197" s="2237"/>
      <c r="BA197" s="2237"/>
      <c r="BB197" s="2237"/>
      <c r="BC197" s="2237"/>
      <c r="BD197" s="223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5" t="s">
        <v>2314</v>
      </c>
      <c r="D199" s="2256"/>
      <c r="E199" s="2256"/>
      <c r="F199" s="2256"/>
      <c r="G199" s="2256"/>
      <c r="H199" s="2256"/>
      <c r="I199" s="2256"/>
      <c r="J199" s="2256"/>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8" t="s">
        <v>2313</v>
      </c>
      <c r="D200" s="2258"/>
      <c r="E200" s="2258"/>
      <c r="F200" s="2258"/>
      <c r="G200" s="2258"/>
      <c r="H200" s="2258"/>
      <c r="I200" s="2258"/>
      <c r="J200" s="2258"/>
      <c r="K200" s="2258"/>
      <c r="L200" s="2258"/>
      <c r="M200" s="2258"/>
      <c r="N200" s="2258"/>
      <c r="O200" s="2259" t="s">
        <v>2312</v>
      </c>
      <c r="P200" s="2259"/>
      <c r="Q200" s="2259"/>
      <c r="R200" s="2259"/>
      <c r="S200" s="2259"/>
      <c r="T200" s="2259"/>
      <c r="U200" s="2259"/>
      <c r="V200" s="2259"/>
      <c r="W200" s="2259"/>
      <c r="X200" s="2259" t="s">
        <v>2311</v>
      </c>
      <c r="Y200" s="2259"/>
      <c r="Z200" s="2259"/>
      <c r="AA200" s="2259"/>
      <c r="AB200" s="2259"/>
      <c r="AC200" s="2259"/>
      <c r="AD200" s="2259"/>
      <c r="AE200" s="22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0" t="s">
        <v>2310</v>
      </c>
      <c r="D201" s="2250"/>
      <c r="E201" s="2250"/>
      <c r="F201" s="2250"/>
      <c r="G201" s="2250"/>
      <c r="H201" s="2250"/>
      <c r="I201" s="2250"/>
      <c r="J201" s="2250"/>
      <c r="K201" s="2250"/>
      <c r="L201" s="2250"/>
      <c r="M201" s="2250"/>
      <c r="N201" s="2250"/>
      <c r="O201" s="2251" t="s">
        <v>2309</v>
      </c>
      <c r="P201" s="2251"/>
      <c r="Q201" s="2251"/>
      <c r="R201" s="2251"/>
      <c r="S201" s="2251"/>
      <c r="T201" s="2251"/>
      <c r="U201" s="2251"/>
      <c r="V201" s="2251"/>
      <c r="W201" s="2251"/>
      <c r="X201" s="2252">
        <v>0.03</v>
      </c>
      <c r="Y201" s="2252"/>
      <c r="Z201" s="2252"/>
      <c r="AA201" s="2252"/>
      <c r="AB201" s="2252"/>
      <c r="AC201" s="2252"/>
      <c r="AD201" s="2252"/>
      <c r="AE201" s="22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0" t="s">
        <v>855</v>
      </c>
      <c r="D202" s="2250"/>
      <c r="E202" s="2250"/>
      <c r="F202" s="2250"/>
      <c r="G202" s="2250"/>
      <c r="H202" s="2250"/>
      <c r="I202" s="2250"/>
      <c r="J202" s="2250"/>
      <c r="K202" s="2250"/>
      <c r="L202" s="2250"/>
      <c r="M202" s="2250"/>
      <c r="N202" s="2250"/>
      <c r="O202" s="2251" t="s">
        <v>2309</v>
      </c>
      <c r="P202" s="2251"/>
      <c r="Q202" s="2251"/>
      <c r="R202" s="2251"/>
      <c r="S202" s="2251"/>
      <c r="T202" s="2251"/>
      <c r="U202" s="2251"/>
      <c r="V202" s="2251"/>
      <c r="W202" s="2251"/>
      <c r="X202" s="2252">
        <v>0.03</v>
      </c>
      <c r="Y202" s="2252"/>
      <c r="Z202" s="2252"/>
      <c r="AA202" s="2252"/>
      <c r="AB202" s="2252"/>
      <c r="AC202" s="2252"/>
      <c r="AD202" s="2252"/>
      <c r="AE202" s="22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0" t="s">
        <v>2308</v>
      </c>
      <c r="D203" s="2250"/>
      <c r="E203" s="2250"/>
      <c r="F203" s="2250"/>
      <c r="G203" s="2250"/>
      <c r="H203" s="2250"/>
      <c r="I203" s="2250"/>
      <c r="J203" s="2250"/>
      <c r="K203" s="2250"/>
      <c r="L203" s="2250"/>
      <c r="M203" s="2250"/>
      <c r="N203" s="2250"/>
      <c r="O203" s="2253">
        <f>SUM(O201:W202)</f>
        <v>0</v>
      </c>
      <c r="P203" s="2254"/>
      <c r="Q203" s="2254"/>
      <c r="R203" s="2254"/>
      <c r="S203" s="2254"/>
      <c r="T203" s="2254"/>
      <c r="U203" s="2254"/>
      <c r="V203" s="2254"/>
      <c r="W203" s="2254"/>
      <c r="X203" s="2254" t="s">
        <v>2307</v>
      </c>
      <c r="Y203" s="2254"/>
      <c r="Z203" s="2254"/>
      <c r="AA203" s="2254"/>
      <c r="AB203" s="2254"/>
      <c r="AC203" s="2254"/>
      <c r="AD203" s="2254"/>
      <c r="AE203" s="22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0" t="s">
        <v>2306</v>
      </c>
      <c r="D204" s="2260"/>
      <c r="E204" s="2260"/>
      <c r="F204" s="2260"/>
      <c r="G204" s="2260"/>
      <c r="H204" s="2260"/>
      <c r="I204" s="2260"/>
      <c r="J204" s="2260"/>
      <c r="K204" s="2260"/>
      <c r="L204" s="2260"/>
      <c r="M204" s="2260"/>
      <c r="N204" s="2260"/>
      <c r="O204" s="2260"/>
      <c r="P204" s="2260"/>
      <c r="Q204" s="2260"/>
      <c r="R204" s="2260"/>
      <c r="S204" s="2260"/>
      <c r="T204" s="2260"/>
      <c r="U204" s="2260"/>
      <c r="V204" s="2260"/>
      <c r="W204" s="2260"/>
      <c r="X204" s="2260"/>
      <c r="Y204" s="2260"/>
      <c r="Z204" s="2260"/>
      <c r="AA204" s="2260"/>
      <c r="AB204" s="2260"/>
      <c r="AC204" s="2260"/>
      <c r="AD204" s="2260"/>
      <c r="AE204" s="226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1" t="s">
        <v>2305</v>
      </c>
      <c r="D206" s="2262"/>
      <c r="E206" s="2262"/>
      <c r="F206" s="2262"/>
      <c r="G206" s="2262"/>
      <c r="H206" s="2262"/>
      <c r="I206" s="2262"/>
      <c r="J206" s="2262"/>
      <c r="K206" s="2262"/>
      <c r="L206" s="2262"/>
      <c r="M206" s="2262"/>
      <c r="N206" s="2262"/>
      <c r="O206" s="2262"/>
      <c r="P206" s="2262"/>
      <c r="Q206" s="2262"/>
      <c r="R206" s="2262"/>
      <c r="S206" s="2262"/>
      <c r="T206" s="2262"/>
      <c r="U206" s="2262"/>
      <c r="V206" s="2262"/>
      <c r="W206" s="2262"/>
      <c r="X206" s="2262"/>
      <c r="Y206" s="2262"/>
      <c r="Z206" s="2262"/>
      <c r="AA206" s="2262"/>
      <c r="AB206" s="2262"/>
      <c r="AC206" s="2262"/>
      <c r="AD206" s="2262"/>
      <c r="AE206" s="2262"/>
      <c r="AF206" s="2262"/>
      <c r="AG206" s="2262"/>
      <c r="AH206" s="2262"/>
      <c r="AI206" s="2262"/>
      <c r="AJ206" s="2262"/>
      <c r="AK206" s="226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4" t="s">
        <v>2304</v>
      </c>
      <c r="D207" s="2265"/>
      <c r="E207" s="2265"/>
      <c r="F207" s="2266"/>
      <c r="G207" s="2270" t="s">
        <v>2303</v>
      </c>
      <c r="H207" s="2265"/>
      <c r="I207" s="2265"/>
      <c r="J207" s="2265"/>
      <c r="K207" s="2265"/>
      <c r="L207" s="2265"/>
      <c r="M207" s="2265"/>
      <c r="N207" s="2265"/>
      <c r="O207" s="2266"/>
      <c r="P207" s="2272" t="s">
        <v>2302</v>
      </c>
      <c r="Q207" s="2273"/>
      <c r="R207" s="2273"/>
      <c r="S207" s="2273"/>
      <c r="T207" s="2274"/>
      <c r="U207" s="2278" t="s">
        <v>2301</v>
      </c>
      <c r="V207" s="2279"/>
      <c r="W207" s="2279"/>
      <c r="X207" s="2280"/>
      <c r="Y207" s="2278" t="s">
        <v>2300</v>
      </c>
      <c r="Z207" s="2279"/>
      <c r="AA207" s="2279"/>
      <c r="AB207" s="2280"/>
      <c r="AC207" s="2278" t="s">
        <v>2299</v>
      </c>
      <c r="AD207" s="2279"/>
      <c r="AE207" s="2279"/>
      <c r="AF207" s="2280"/>
      <c r="AG207" s="2270" t="s">
        <v>2298</v>
      </c>
      <c r="AH207" s="2265"/>
      <c r="AI207" s="2265"/>
      <c r="AJ207" s="2265"/>
      <c r="AK207" s="228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7"/>
      <c r="D208" s="2268"/>
      <c r="E208" s="2268"/>
      <c r="F208" s="2269"/>
      <c r="G208" s="2271"/>
      <c r="H208" s="2268"/>
      <c r="I208" s="2268"/>
      <c r="J208" s="2268"/>
      <c r="K208" s="2268"/>
      <c r="L208" s="2268"/>
      <c r="M208" s="2268"/>
      <c r="N208" s="2268"/>
      <c r="O208" s="2269"/>
      <c r="P208" s="2275"/>
      <c r="Q208" s="2276"/>
      <c r="R208" s="2276"/>
      <c r="S208" s="2276"/>
      <c r="T208" s="2277"/>
      <c r="U208" s="2281"/>
      <c r="V208" s="2282"/>
      <c r="W208" s="2282"/>
      <c r="X208" s="2283"/>
      <c r="Y208" s="2281"/>
      <c r="Z208" s="2282"/>
      <c r="AA208" s="2282"/>
      <c r="AB208" s="2283"/>
      <c r="AC208" s="2281"/>
      <c r="AD208" s="2282"/>
      <c r="AE208" s="2282"/>
      <c r="AF208" s="2283"/>
      <c r="AG208" s="2271"/>
      <c r="AH208" s="2268"/>
      <c r="AI208" s="2268"/>
      <c r="AJ208" s="2268"/>
      <c r="AK208" s="228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9">
        <v>1</v>
      </c>
      <c r="D209" s="2290"/>
      <c r="E209" s="2290"/>
      <c r="F209" s="2290"/>
      <c r="G209" s="2291" t="s">
        <v>1886</v>
      </c>
      <c r="H209" s="2291"/>
      <c r="I209" s="2291"/>
      <c r="J209" s="2291"/>
      <c r="K209" s="2291"/>
      <c r="L209" s="2291"/>
      <c r="M209" s="2291"/>
      <c r="N209" s="2291"/>
      <c r="O209" s="2291"/>
      <c r="P209" s="2292"/>
      <c r="Q209" s="2295"/>
      <c r="R209" s="2295"/>
      <c r="S209" s="2295"/>
      <c r="T209" s="2295"/>
      <c r="U209" s="2293" t="s">
        <v>1886</v>
      </c>
      <c r="V209" s="2293"/>
      <c r="W209" s="2293"/>
      <c r="X209" s="2293"/>
      <c r="Y209" s="2293" t="s">
        <v>1886</v>
      </c>
      <c r="Z209" s="2293"/>
      <c r="AA209" s="2293"/>
      <c r="AB209" s="2293"/>
      <c r="AC209" s="2294" t="s">
        <v>1886</v>
      </c>
      <c r="AD209" s="2294"/>
      <c r="AE209" s="2294"/>
      <c r="AF209" s="2294"/>
      <c r="AG209" s="2286"/>
      <c r="AH209" s="2287"/>
      <c r="AI209" s="2287"/>
      <c r="AJ209" s="2287"/>
      <c r="AK209" s="228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9">
        <v>2</v>
      </c>
      <c r="D210" s="2290"/>
      <c r="E210" s="2290"/>
      <c r="F210" s="2290"/>
      <c r="G210" s="2291" t="s">
        <v>1886</v>
      </c>
      <c r="H210" s="2291"/>
      <c r="I210" s="2291"/>
      <c r="J210" s="2291"/>
      <c r="K210" s="2291"/>
      <c r="L210" s="2291"/>
      <c r="M210" s="2291"/>
      <c r="N210" s="2291"/>
      <c r="O210" s="2291"/>
      <c r="P210" s="2292"/>
      <c r="Q210" s="2292"/>
      <c r="R210" s="2292"/>
      <c r="S210" s="2292"/>
      <c r="T210" s="2292"/>
      <c r="U210" s="2293" t="s">
        <v>1886</v>
      </c>
      <c r="V210" s="2293"/>
      <c r="W210" s="2293"/>
      <c r="X210" s="2293"/>
      <c r="Y210" s="2293" t="s">
        <v>1886</v>
      </c>
      <c r="Z210" s="2293"/>
      <c r="AA210" s="2293"/>
      <c r="AB210" s="2293"/>
      <c r="AC210" s="2294" t="s">
        <v>1886</v>
      </c>
      <c r="AD210" s="2294"/>
      <c r="AE210" s="2294"/>
      <c r="AF210" s="2294"/>
      <c r="AG210" s="2286"/>
      <c r="AH210" s="2287"/>
      <c r="AI210" s="2287"/>
      <c r="AJ210" s="2287"/>
      <c r="AK210" s="228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9">
        <v>3</v>
      </c>
      <c r="D211" s="2290"/>
      <c r="E211" s="2290"/>
      <c r="F211" s="2290"/>
      <c r="G211" s="2291" t="s">
        <v>1886</v>
      </c>
      <c r="H211" s="2291"/>
      <c r="I211" s="2291"/>
      <c r="J211" s="2291"/>
      <c r="K211" s="2291"/>
      <c r="L211" s="2291"/>
      <c r="M211" s="2291"/>
      <c r="N211" s="2291"/>
      <c r="O211" s="2291"/>
      <c r="P211" s="2292"/>
      <c r="Q211" s="2292"/>
      <c r="R211" s="2292"/>
      <c r="S211" s="2292"/>
      <c r="T211" s="2292"/>
      <c r="U211" s="2293" t="s">
        <v>1886</v>
      </c>
      <c r="V211" s="2293"/>
      <c r="W211" s="2293"/>
      <c r="X211" s="2293"/>
      <c r="Y211" s="2293" t="s">
        <v>1886</v>
      </c>
      <c r="Z211" s="2293"/>
      <c r="AA211" s="2293"/>
      <c r="AB211" s="2293"/>
      <c r="AC211" s="2294" t="s">
        <v>1886</v>
      </c>
      <c r="AD211" s="2294"/>
      <c r="AE211" s="2294"/>
      <c r="AF211" s="2294"/>
      <c r="AG211" s="2286"/>
      <c r="AH211" s="2287"/>
      <c r="AI211" s="2287"/>
      <c r="AJ211" s="2287"/>
      <c r="AK211" s="228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9">
        <v>4</v>
      </c>
      <c r="D212" s="2290"/>
      <c r="E212" s="2290"/>
      <c r="F212" s="2290"/>
      <c r="G212" s="2291" t="s">
        <v>1886</v>
      </c>
      <c r="H212" s="2291"/>
      <c r="I212" s="2291"/>
      <c r="J212" s="2291"/>
      <c r="K212" s="2291"/>
      <c r="L212" s="2291"/>
      <c r="M212" s="2291"/>
      <c r="N212" s="2291"/>
      <c r="O212" s="2291"/>
      <c r="P212" s="2292"/>
      <c r="Q212" s="2292"/>
      <c r="R212" s="2292"/>
      <c r="S212" s="2292"/>
      <c r="T212" s="2292"/>
      <c r="U212" s="2293" t="s">
        <v>1886</v>
      </c>
      <c r="V212" s="2293"/>
      <c r="W212" s="2293"/>
      <c r="X212" s="2293"/>
      <c r="Y212" s="2293" t="s">
        <v>1886</v>
      </c>
      <c r="Z212" s="2293"/>
      <c r="AA212" s="2293"/>
      <c r="AB212" s="2293"/>
      <c r="AC212" s="2294" t="s">
        <v>1886</v>
      </c>
      <c r="AD212" s="2294"/>
      <c r="AE212" s="2294"/>
      <c r="AF212" s="2294"/>
      <c r="AG212" s="2286"/>
      <c r="AH212" s="2287"/>
      <c r="AI212" s="2287"/>
      <c r="AJ212" s="2287"/>
      <c r="AK212" s="228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9">
        <v>5</v>
      </c>
      <c r="D213" s="2290"/>
      <c r="E213" s="2290"/>
      <c r="F213" s="2290"/>
      <c r="G213" s="2291" t="s">
        <v>1886</v>
      </c>
      <c r="H213" s="2291"/>
      <c r="I213" s="2291"/>
      <c r="J213" s="2291"/>
      <c r="K213" s="2291"/>
      <c r="L213" s="2291"/>
      <c r="M213" s="2291"/>
      <c r="N213" s="2291"/>
      <c r="O213" s="2291"/>
      <c r="P213" s="2292"/>
      <c r="Q213" s="2292"/>
      <c r="R213" s="2292"/>
      <c r="S213" s="2292"/>
      <c r="T213" s="2292"/>
      <c r="U213" s="2293" t="s">
        <v>1886</v>
      </c>
      <c r="V213" s="2293"/>
      <c r="W213" s="2293"/>
      <c r="X213" s="2293"/>
      <c r="Y213" s="2293" t="s">
        <v>1886</v>
      </c>
      <c r="Z213" s="2293"/>
      <c r="AA213" s="2293"/>
      <c r="AB213" s="2293"/>
      <c r="AC213" s="2294" t="s">
        <v>1886</v>
      </c>
      <c r="AD213" s="2294"/>
      <c r="AE213" s="2294"/>
      <c r="AF213" s="2294"/>
      <c r="AG213" s="2286"/>
      <c r="AH213" s="2287"/>
      <c r="AI213" s="2287"/>
      <c r="AJ213" s="2287"/>
      <c r="AK213" s="228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9">
        <v>6</v>
      </c>
      <c r="D214" s="2290"/>
      <c r="E214" s="2290"/>
      <c r="F214" s="2290"/>
      <c r="G214" s="2291" t="s">
        <v>1886</v>
      </c>
      <c r="H214" s="2291"/>
      <c r="I214" s="2291"/>
      <c r="J214" s="2291"/>
      <c r="K214" s="2291"/>
      <c r="L214" s="2291"/>
      <c r="M214" s="2291"/>
      <c r="N214" s="2291"/>
      <c r="O214" s="2291"/>
      <c r="P214" s="2292"/>
      <c r="Q214" s="2292"/>
      <c r="R214" s="2292"/>
      <c r="S214" s="2292"/>
      <c r="T214" s="2292"/>
      <c r="U214" s="2293"/>
      <c r="V214" s="2293"/>
      <c r="W214" s="2293"/>
      <c r="X214" s="2293"/>
      <c r="Y214" s="2293"/>
      <c r="Z214" s="2293"/>
      <c r="AA214" s="2293"/>
      <c r="AB214" s="2293"/>
      <c r="AC214" s="2294" t="s">
        <v>1886</v>
      </c>
      <c r="AD214" s="2294"/>
      <c r="AE214" s="2294"/>
      <c r="AF214" s="2294"/>
      <c r="AG214" s="2286"/>
      <c r="AH214" s="2287"/>
      <c r="AI214" s="2287"/>
      <c r="AJ214" s="2287"/>
      <c r="AK214" s="228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9">
        <v>7</v>
      </c>
      <c r="D215" s="2290"/>
      <c r="E215" s="2290"/>
      <c r="F215" s="2290"/>
      <c r="G215" s="2291"/>
      <c r="H215" s="2291"/>
      <c r="I215" s="2291"/>
      <c r="J215" s="2291"/>
      <c r="K215" s="2291"/>
      <c r="L215" s="2291"/>
      <c r="M215" s="2291"/>
      <c r="N215" s="2291"/>
      <c r="O215" s="2291"/>
      <c r="P215" s="2292"/>
      <c r="Q215" s="2292"/>
      <c r="R215" s="2292"/>
      <c r="S215" s="2292"/>
      <c r="T215" s="2292"/>
      <c r="U215" s="2293"/>
      <c r="V215" s="2293"/>
      <c r="W215" s="2293"/>
      <c r="X215" s="2293"/>
      <c r="Y215" s="2293"/>
      <c r="Z215" s="2293"/>
      <c r="AA215" s="2293"/>
      <c r="AB215" s="2293"/>
      <c r="AC215" s="2294" t="s">
        <v>1886</v>
      </c>
      <c r="AD215" s="2294"/>
      <c r="AE215" s="2294"/>
      <c r="AF215" s="2294"/>
      <c r="AG215" s="2286"/>
      <c r="AH215" s="2287"/>
      <c r="AI215" s="2287"/>
      <c r="AJ215" s="2287"/>
      <c r="AK215" s="228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8" t="s">
        <v>2297</v>
      </c>
      <c r="D216" s="2309"/>
      <c r="E216" s="2309"/>
      <c r="F216" s="2309"/>
      <c r="G216" s="2309"/>
      <c r="H216" s="2309"/>
      <c r="I216" s="2309"/>
      <c r="J216" s="2309"/>
      <c r="K216" s="2309"/>
      <c r="L216" s="2309"/>
      <c r="M216" s="2309"/>
      <c r="N216" s="2309"/>
      <c r="O216" s="2309"/>
      <c r="P216" s="2310"/>
      <c r="Q216" s="2310"/>
      <c r="R216" s="2310"/>
      <c r="S216" s="2310"/>
      <c r="T216" s="2310"/>
      <c r="U216" s="2311">
        <f>-SUM(U209:U215)</f>
        <v>0</v>
      </c>
      <c r="V216" s="2311"/>
      <c r="W216" s="2311"/>
      <c r="X216" s="2311"/>
      <c r="Y216" s="2311">
        <f>-SUM(Y209:Y215)</f>
        <v>0</v>
      </c>
      <c r="Z216" s="2311"/>
      <c r="AA216" s="2311"/>
      <c r="AB216" s="2311"/>
      <c r="AC216" s="2312">
        <f>-SUM(AC209:AC215)</f>
        <v>0</v>
      </c>
      <c r="AD216" s="2312"/>
      <c r="AE216" s="2312"/>
      <c r="AF216" s="2312"/>
      <c r="AG216" s="2313"/>
      <c r="AH216" s="2314"/>
      <c r="AI216" s="2314"/>
      <c r="AJ216" s="2314"/>
      <c r="AK216" s="23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6" t="s">
        <v>2295</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194"/>
    </row>
    <row r="222" spans="1:57" ht="15.75" customHeight="1">
      <c r="A222" s="1190"/>
      <c r="B222" s="2299"/>
      <c r="C222" s="2300"/>
      <c r="D222" s="2300"/>
      <c r="E222" s="2300"/>
      <c r="F222" s="2300"/>
      <c r="G222" s="2300"/>
      <c r="H222" s="2300"/>
      <c r="I222" s="2300"/>
      <c r="J222" s="2300"/>
      <c r="K222" s="2300"/>
      <c r="L222" s="2300"/>
      <c r="M222" s="2300"/>
      <c r="N222" s="2300"/>
      <c r="O222" s="2300"/>
      <c r="P222" s="2300"/>
      <c r="Q222" s="2300"/>
      <c r="R222" s="2300"/>
      <c r="S222" s="2300"/>
      <c r="T222" s="2300"/>
      <c r="U222" s="2300"/>
      <c r="V222" s="2300"/>
      <c r="W222" s="2300"/>
      <c r="X222" s="2300"/>
      <c r="Y222" s="2300"/>
      <c r="Z222" s="2300"/>
      <c r="AA222" s="2300"/>
      <c r="AB222" s="2300"/>
      <c r="AC222" s="2300"/>
      <c r="AD222" s="2300"/>
      <c r="AE222" s="2300"/>
      <c r="AF222" s="2300"/>
      <c r="AG222" s="2300"/>
      <c r="AH222" s="2300"/>
      <c r="AI222" s="2300"/>
      <c r="AJ222" s="2300"/>
      <c r="AK222" s="2300"/>
      <c r="AL222" s="2300"/>
      <c r="AM222" s="2300"/>
      <c r="AN222" s="2300"/>
      <c r="AO222" s="2300"/>
      <c r="AP222" s="2300"/>
      <c r="AQ222" s="2300"/>
      <c r="AR222" s="2300"/>
      <c r="AS222" s="2300"/>
      <c r="AT222" s="2300"/>
      <c r="AU222" s="2300"/>
      <c r="AV222" s="2300"/>
      <c r="AW222" s="2300"/>
      <c r="AX222" s="2300"/>
      <c r="AY222" s="2300"/>
      <c r="AZ222" s="2300"/>
      <c r="BA222" s="2300"/>
      <c r="BB222" s="2300"/>
      <c r="BC222" s="2300"/>
      <c r="BD222" s="2301"/>
      <c r="BE222" s="1194"/>
    </row>
    <row r="223" spans="1:57" ht="15.75" customHeight="1">
      <c r="A223" s="1190"/>
      <c r="B223" s="2302" t="s">
        <v>2294</v>
      </c>
      <c r="C223" s="2303"/>
      <c r="D223" s="2303"/>
      <c r="E223" s="2303"/>
      <c r="F223" s="2303"/>
      <c r="G223" s="2303"/>
      <c r="H223" s="2303"/>
      <c r="I223" s="2303"/>
      <c r="J223" s="2303"/>
      <c r="K223" s="2303"/>
      <c r="L223" s="2303"/>
      <c r="M223" s="2303"/>
      <c r="N223" s="2303"/>
      <c r="O223" s="2303"/>
      <c r="P223" s="2303"/>
      <c r="Q223" s="2303"/>
      <c r="R223" s="2303"/>
      <c r="S223" s="2303"/>
      <c r="T223" s="2303"/>
      <c r="U223" s="2303"/>
      <c r="V223" s="2303"/>
      <c r="W223" s="2303"/>
      <c r="X223" s="2303"/>
      <c r="Y223" s="2303"/>
      <c r="Z223" s="2303"/>
      <c r="AA223" s="2303"/>
      <c r="AB223" s="2303"/>
      <c r="AC223" s="2303"/>
      <c r="AD223" s="2303"/>
      <c r="AE223" s="2303"/>
      <c r="AF223" s="2303"/>
      <c r="AG223" s="2303"/>
      <c r="AH223" s="2303"/>
      <c r="AI223" s="2303"/>
      <c r="AJ223" s="2303"/>
      <c r="AK223" s="2303"/>
      <c r="AL223" s="2303"/>
      <c r="AM223" s="2303"/>
      <c r="AN223" s="2303"/>
      <c r="AO223" s="2303"/>
      <c r="AP223" s="2303"/>
      <c r="AQ223" s="2303"/>
      <c r="AR223" s="2303"/>
      <c r="AS223" s="2303"/>
      <c r="AT223" s="2303"/>
      <c r="AU223" s="2303"/>
      <c r="AV223" s="2303"/>
      <c r="AW223" s="2303"/>
      <c r="AX223" s="2303"/>
      <c r="AY223" s="2303"/>
      <c r="AZ223" s="2303"/>
      <c r="BA223" s="2303"/>
      <c r="BB223" s="2303"/>
      <c r="BC223" s="2303"/>
      <c r="BD223" s="2304"/>
      <c r="BE223" s="1194"/>
    </row>
    <row r="224" spans="1:57" ht="15.75" customHeight="1">
      <c r="A224" s="1190"/>
      <c r="B224" s="2302" t="s">
        <v>2293</v>
      </c>
      <c r="C224" s="2303"/>
      <c r="D224" s="2303"/>
      <c r="E224" s="2303"/>
      <c r="F224" s="2303"/>
      <c r="G224" s="2303"/>
      <c r="H224" s="2303"/>
      <c r="I224" s="2303"/>
      <c r="J224" s="2303"/>
      <c r="K224" s="2303"/>
      <c r="L224" s="2303"/>
      <c r="M224" s="2303"/>
      <c r="N224" s="2303"/>
      <c r="O224" s="2303"/>
      <c r="P224" s="2303"/>
      <c r="Q224" s="2303"/>
      <c r="R224" s="2303"/>
      <c r="S224" s="2303"/>
      <c r="T224" s="2303"/>
      <c r="U224" s="2303"/>
      <c r="V224" s="2303"/>
      <c r="W224" s="2303"/>
      <c r="X224" s="2303"/>
      <c r="Y224" s="2303"/>
      <c r="Z224" s="2303"/>
      <c r="AA224" s="2303"/>
      <c r="AB224" s="2303"/>
      <c r="AC224" s="2303"/>
      <c r="AD224" s="2303"/>
      <c r="AE224" s="2303"/>
      <c r="AF224" s="2303"/>
      <c r="AG224" s="2303"/>
      <c r="AH224" s="2303"/>
      <c r="AI224" s="2303"/>
      <c r="AJ224" s="2303"/>
      <c r="AK224" s="2303"/>
      <c r="AL224" s="2303"/>
      <c r="AM224" s="2303"/>
      <c r="AN224" s="2303"/>
      <c r="AO224" s="2303"/>
      <c r="AP224" s="2303"/>
      <c r="AQ224" s="2303"/>
      <c r="AR224" s="2303"/>
      <c r="AS224" s="2303"/>
      <c r="AT224" s="2303"/>
      <c r="AU224" s="2303"/>
      <c r="AV224" s="2303"/>
      <c r="AW224" s="2303"/>
      <c r="AX224" s="2303"/>
      <c r="AY224" s="2303"/>
      <c r="AZ224" s="2303"/>
      <c r="BA224" s="2303"/>
      <c r="BB224" s="2303"/>
      <c r="BC224" s="2303"/>
      <c r="BD224" s="23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5" t="s">
        <v>2292</v>
      </c>
      <c r="C226" s="2195"/>
      <c r="D226" s="2195"/>
      <c r="E226" s="2195"/>
      <c r="F226" s="2195"/>
      <c r="G226" s="2195"/>
      <c r="H226" s="2195"/>
      <c r="I226" s="2195"/>
      <c r="J226" s="2195"/>
      <c r="K226" s="2195"/>
      <c r="L226" s="2195"/>
      <c r="M226" s="2195"/>
      <c r="N226" s="2195"/>
      <c r="O226" s="2195"/>
      <c r="P226" s="2195"/>
      <c r="Q226" s="2195"/>
      <c r="R226" s="2195"/>
      <c r="S226" s="2195"/>
      <c r="T226" s="2195"/>
      <c r="U226" s="2195"/>
      <c r="V226" s="2195"/>
      <c r="W226" s="2195"/>
      <c r="X226" s="2195"/>
      <c r="Y226" s="2195"/>
      <c r="Z226" s="2195"/>
      <c r="AA226" s="2195"/>
      <c r="AB226" s="2195"/>
      <c r="AC226" s="2195"/>
      <c r="AD226" s="2195"/>
      <c r="AE226" s="2195"/>
      <c r="AF226" s="2195"/>
      <c r="AG226" s="2195"/>
      <c r="AH226" s="2195"/>
      <c r="AI226" s="2195"/>
      <c r="AJ226" s="2195"/>
      <c r="AK226" s="2195"/>
      <c r="AL226" s="2195"/>
      <c r="AM226" s="2195"/>
      <c r="AN226" s="2195"/>
      <c r="AO226" s="2195"/>
      <c r="AP226" s="2195"/>
      <c r="AQ226" s="2195"/>
      <c r="AR226" s="2195"/>
      <c r="AS226" s="2195"/>
      <c r="AT226" s="2195"/>
      <c r="AU226" s="2195"/>
      <c r="AV226" s="2195"/>
      <c r="AW226" s="2195"/>
      <c r="AX226" s="2195"/>
      <c r="AY226" s="2195"/>
      <c r="AZ226" s="2195"/>
      <c r="BA226" s="2195"/>
      <c r="BB226" s="2195"/>
      <c r="BC226" s="2195"/>
      <c r="BD226" s="23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7" t="s">
        <v>2290</v>
      </c>
      <c r="I230" s="2307"/>
      <c r="J230" s="2307"/>
      <c r="K230" s="2307"/>
      <c r="L230" s="2307"/>
      <c r="M230" s="2307"/>
      <c r="N230" s="2307"/>
      <c r="O230" s="2307"/>
      <c r="P230" s="2307"/>
      <c r="Q230" s="2307"/>
      <c r="R230" s="2307"/>
      <c r="S230" s="2307"/>
      <c r="T230" s="2307"/>
      <c r="U230" s="2307"/>
      <c r="V230" s="2307"/>
      <c r="W230" s="2307"/>
      <c r="X230" s="2307"/>
      <c r="Y230" s="2307"/>
      <c r="Z230" s="2307"/>
      <c r="AA230" s="2307"/>
      <c r="AB230" s="2307"/>
      <c r="AC230" s="2307"/>
      <c r="AD230" s="2307"/>
      <c r="AE230" s="2307"/>
      <c r="AF230" s="2307"/>
      <c r="AG230" s="2307"/>
      <c r="AH230" s="2307"/>
      <c r="AI230" s="2307"/>
      <c r="AJ230" s="2307"/>
      <c r="AK230" s="2307"/>
      <c r="AL230" s="2307"/>
      <c r="AM230" s="2307"/>
      <c r="AN230" s="2307"/>
      <c r="AO230" s="2307"/>
      <c r="AP230" s="2307"/>
      <c r="AQ230" s="2307"/>
      <c r="AR230" s="2307"/>
      <c r="AS230" s="2307"/>
      <c r="AT230" s="2307"/>
      <c r="AU230" s="2307"/>
      <c r="AV230" s="2307"/>
      <c r="AW230" s="2307"/>
      <c r="AX230" s="2307"/>
      <c r="AY230" s="23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5" t="s">
        <v>2289</v>
      </c>
      <c r="I232" s="2325"/>
      <c r="J232" s="2325"/>
      <c r="K232" s="2325"/>
      <c r="L232" s="2325"/>
      <c r="M232" s="2325"/>
      <c r="N232" s="2325"/>
      <c r="O232" s="2325"/>
      <c r="P232" s="2325"/>
      <c r="Q232" s="2325"/>
      <c r="R232" s="2325"/>
      <c r="S232" s="2325"/>
      <c r="T232" s="2325"/>
      <c r="U232" s="2325"/>
      <c r="V232" s="2325"/>
      <c r="W232" s="2325"/>
      <c r="X232" s="2325"/>
      <c r="Y232" s="2325"/>
      <c r="Z232" s="2325"/>
      <c r="AA232" s="2325"/>
      <c r="AB232" s="2325"/>
      <c r="AC232" s="2325"/>
      <c r="AD232" s="2325"/>
      <c r="AE232" s="2325"/>
      <c r="AF232" s="2325"/>
      <c r="AG232" s="2325"/>
      <c r="AH232" s="2325"/>
      <c r="AI232" s="2325"/>
      <c r="AJ232" s="2325"/>
      <c r="AK232" s="2325"/>
      <c r="AL232" s="2325"/>
      <c r="AM232" s="2325"/>
      <c r="AN232" s="2325"/>
      <c r="AO232" s="2325"/>
      <c r="AP232" s="2325"/>
      <c r="AQ232" s="2325"/>
      <c r="AR232" s="2325"/>
      <c r="AS232" s="2325"/>
      <c r="AT232" s="2325"/>
      <c r="AU232" s="2325"/>
      <c r="AV232" s="2325"/>
      <c r="AW232" s="2325"/>
      <c r="AX232" s="2325"/>
      <c r="AY232" s="2325"/>
      <c r="AZ232" s="2325"/>
      <c r="BA232" s="1190"/>
      <c r="BB232" s="1190"/>
      <c r="BC232" s="1190"/>
      <c r="BD232" s="1194"/>
      <c r="BE232" s="1194"/>
    </row>
    <row r="233" spans="1:57" ht="15.75" customHeight="1">
      <c r="A233" s="1190"/>
      <c r="B233" s="1189"/>
      <c r="C233" s="1190"/>
      <c r="D233" s="1190"/>
      <c r="E233" s="1190"/>
      <c r="F233" s="1190"/>
      <c r="G233" s="1190"/>
      <c r="H233" s="2325"/>
      <c r="I233" s="2325"/>
      <c r="J233" s="2325"/>
      <c r="K233" s="2325"/>
      <c r="L233" s="2325"/>
      <c r="M233" s="2325"/>
      <c r="N233" s="2325"/>
      <c r="O233" s="2325"/>
      <c r="P233" s="2325"/>
      <c r="Q233" s="2325"/>
      <c r="R233" s="2325"/>
      <c r="S233" s="2325"/>
      <c r="T233" s="2325"/>
      <c r="U233" s="2325"/>
      <c r="V233" s="2325"/>
      <c r="W233" s="2325"/>
      <c r="X233" s="2325"/>
      <c r="Y233" s="2325"/>
      <c r="Z233" s="2325"/>
      <c r="AA233" s="2325"/>
      <c r="AB233" s="2325"/>
      <c r="AC233" s="2325"/>
      <c r="AD233" s="2325"/>
      <c r="AE233" s="2325"/>
      <c r="AF233" s="2325"/>
      <c r="AG233" s="2325"/>
      <c r="AH233" s="2325"/>
      <c r="AI233" s="2325"/>
      <c r="AJ233" s="2325"/>
      <c r="AK233" s="2325"/>
      <c r="AL233" s="2325"/>
      <c r="AM233" s="2325"/>
      <c r="AN233" s="2325"/>
      <c r="AO233" s="2325"/>
      <c r="AP233" s="2325"/>
      <c r="AQ233" s="2325"/>
      <c r="AR233" s="2325"/>
      <c r="AS233" s="2325"/>
      <c r="AT233" s="2325"/>
      <c r="AU233" s="2325"/>
      <c r="AV233" s="2325"/>
      <c r="AW233" s="2325"/>
      <c r="AX233" s="2325"/>
      <c r="AY233" s="2325"/>
      <c r="AZ233" s="2325"/>
      <c r="BA233" s="1190"/>
      <c r="BB233" s="1190"/>
      <c r="BC233" s="1190"/>
      <c r="BD233" s="1194"/>
      <c r="BE233" s="1194"/>
    </row>
    <row r="234" spans="1:57" ht="15.75" customHeight="1">
      <c r="A234" s="1190"/>
      <c r="B234" s="1189"/>
      <c r="C234" s="1190"/>
      <c r="D234" s="1190"/>
      <c r="E234" s="1190"/>
      <c r="F234" s="1190"/>
      <c r="G234" s="1190"/>
      <c r="H234" s="2325"/>
      <c r="I234" s="2325"/>
      <c r="J234" s="2325"/>
      <c r="K234" s="2325"/>
      <c r="L234" s="2325"/>
      <c r="M234" s="2325"/>
      <c r="N234" s="2325"/>
      <c r="O234" s="2325"/>
      <c r="P234" s="2325"/>
      <c r="Q234" s="2325"/>
      <c r="R234" s="2325"/>
      <c r="S234" s="2325"/>
      <c r="T234" s="2325"/>
      <c r="U234" s="2325"/>
      <c r="V234" s="2325"/>
      <c r="W234" s="2325"/>
      <c r="X234" s="2325"/>
      <c r="Y234" s="2325"/>
      <c r="Z234" s="2325"/>
      <c r="AA234" s="2325"/>
      <c r="AB234" s="2325"/>
      <c r="AC234" s="2325"/>
      <c r="AD234" s="2325"/>
      <c r="AE234" s="2325"/>
      <c r="AF234" s="2325"/>
      <c r="AG234" s="2325"/>
      <c r="AH234" s="2325"/>
      <c r="AI234" s="2325"/>
      <c r="AJ234" s="2325"/>
      <c r="AK234" s="2325"/>
      <c r="AL234" s="2325"/>
      <c r="AM234" s="2325"/>
      <c r="AN234" s="2325"/>
      <c r="AO234" s="2325"/>
      <c r="AP234" s="2325"/>
      <c r="AQ234" s="2325"/>
      <c r="AR234" s="2325"/>
      <c r="AS234" s="2325"/>
      <c r="AT234" s="2325"/>
      <c r="AU234" s="2325"/>
      <c r="AV234" s="2325"/>
      <c r="AW234" s="2325"/>
      <c r="AX234" s="2325"/>
      <c r="AY234" s="2325"/>
      <c r="AZ234" s="2325"/>
      <c r="BA234" s="1190"/>
      <c r="BB234" s="1190"/>
      <c r="BC234" s="1190"/>
      <c r="BD234" s="1194"/>
      <c r="BE234" s="1194"/>
    </row>
    <row r="235" spans="1:57" ht="15.75" customHeight="1">
      <c r="A235" s="1190"/>
      <c r="B235" s="1189"/>
      <c r="C235" s="1190"/>
      <c r="D235" s="1190"/>
      <c r="E235" s="1190"/>
      <c r="F235" s="1190"/>
      <c r="G235" s="1190"/>
      <c r="H235" s="2325"/>
      <c r="I235" s="2325"/>
      <c r="J235" s="2325"/>
      <c r="K235" s="2325"/>
      <c r="L235" s="2325"/>
      <c r="M235" s="2325"/>
      <c r="N235" s="2325"/>
      <c r="O235" s="2325"/>
      <c r="P235" s="2325"/>
      <c r="Q235" s="2325"/>
      <c r="R235" s="2325"/>
      <c r="S235" s="2325"/>
      <c r="T235" s="2325"/>
      <c r="U235" s="2325"/>
      <c r="V235" s="2325"/>
      <c r="W235" s="2325"/>
      <c r="X235" s="2325"/>
      <c r="Y235" s="2325"/>
      <c r="Z235" s="2325"/>
      <c r="AA235" s="2325"/>
      <c r="AB235" s="2325"/>
      <c r="AC235" s="2325"/>
      <c r="AD235" s="2325"/>
      <c r="AE235" s="2325"/>
      <c r="AF235" s="2325"/>
      <c r="AG235" s="2325"/>
      <c r="AH235" s="2325"/>
      <c r="AI235" s="2325"/>
      <c r="AJ235" s="2325"/>
      <c r="AK235" s="2325"/>
      <c r="AL235" s="2325"/>
      <c r="AM235" s="2325"/>
      <c r="AN235" s="2325"/>
      <c r="AO235" s="2325"/>
      <c r="AP235" s="2325"/>
      <c r="AQ235" s="2325"/>
      <c r="AR235" s="2325"/>
      <c r="AS235" s="2325"/>
      <c r="AT235" s="2325"/>
      <c r="AU235" s="2325"/>
      <c r="AV235" s="2325"/>
      <c r="AW235" s="2325"/>
      <c r="AX235" s="2325"/>
      <c r="AY235" s="2325"/>
      <c r="AZ235" s="232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6" t="s">
        <v>2288</v>
      </c>
      <c r="I237" s="2326"/>
      <c r="J237" s="2326"/>
      <c r="K237" s="2326"/>
      <c r="L237" s="2326"/>
      <c r="M237" s="2326"/>
      <c r="N237" s="2326"/>
      <c r="O237" s="2326"/>
      <c r="P237" s="2326"/>
      <c r="Q237" s="2326"/>
      <c r="R237" s="2326"/>
      <c r="S237" s="2326"/>
      <c r="T237" s="2326"/>
      <c r="U237" s="2326"/>
      <c r="V237" s="2326"/>
      <c r="W237" s="2326"/>
      <c r="X237" s="2326"/>
      <c r="Y237" s="2326"/>
      <c r="Z237" s="2326"/>
      <c r="AA237" s="2326"/>
      <c r="AB237" s="2326"/>
      <c r="AC237" s="2326"/>
      <c r="AD237" s="2326"/>
      <c r="AE237" s="2326"/>
      <c r="AF237" s="2326"/>
      <c r="AG237" s="2326"/>
      <c r="AH237" s="2326"/>
      <c r="AI237" s="2326"/>
      <c r="AJ237" s="2326"/>
      <c r="AK237" s="2326"/>
      <c r="AL237" s="2326"/>
      <c r="AM237" s="2326"/>
      <c r="AN237" s="2326"/>
      <c r="AO237" s="2326"/>
      <c r="AP237" s="2326"/>
      <c r="AQ237" s="2326"/>
      <c r="AR237" s="2326"/>
      <c r="AS237" s="2326"/>
      <c r="AT237" s="2326"/>
      <c r="AU237" s="2326"/>
      <c r="AV237" s="232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6" t="s">
        <v>2287</v>
      </c>
      <c r="I239" s="2316"/>
      <c r="J239" s="2316"/>
      <c r="K239" s="2316"/>
      <c r="L239" s="1239"/>
      <c r="M239" s="1239"/>
      <c r="N239" s="1239"/>
      <c r="O239" s="1239"/>
      <c r="P239" s="1239"/>
      <c r="Q239" s="1239"/>
      <c r="R239" s="1239"/>
      <c r="S239" s="2327"/>
      <c r="T239" s="2328"/>
      <c r="U239" s="2328"/>
      <c r="V239" s="2328"/>
      <c r="W239" s="2328"/>
      <c r="X239" s="2328"/>
      <c r="Y239" s="2328"/>
      <c r="Z239" s="2328"/>
      <c r="AA239" s="2328"/>
      <c r="AB239" s="2328"/>
      <c r="AC239" s="2328"/>
      <c r="AD239" s="2328"/>
      <c r="AE239" s="2328"/>
      <c r="AF239" s="2328"/>
      <c r="AG239" s="2328"/>
      <c r="AH239" s="2328"/>
      <c r="AI239" s="2328"/>
      <c r="AJ239" s="232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6" t="s">
        <v>2286</v>
      </c>
      <c r="I241" s="2316"/>
      <c r="J241" s="2316"/>
      <c r="K241" s="1241"/>
      <c r="L241" s="1239"/>
      <c r="M241" s="1239"/>
      <c r="N241" s="1239"/>
      <c r="O241" s="1239"/>
      <c r="P241" s="1239"/>
      <c r="Q241" s="1239"/>
      <c r="R241" s="1239"/>
      <c r="S241" s="2317"/>
      <c r="T241" s="2318"/>
      <c r="U241" s="2318"/>
      <c r="V241" s="2318"/>
      <c r="W241" s="2318"/>
      <c r="X241" s="2318"/>
      <c r="Y241" s="2318"/>
      <c r="Z241" s="2318"/>
      <c r="AA241" s="2318"/>
      <c r="AB241" s="2318"/>
      <c r="AC241" s="2318"/>
      <c r="AD241" s="2318"/>
      <c r="AE241" s="2318"/>
      <c r="AF241" s="2318"/>
      <c r="AG241" s="2318"/>
      <c r="AH241" s="2318"/>
      <c r="AI241" s="2318"/>
      <c r="AJ241" s="231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6" t="s">
        <v>442</v>
      </c>
      <c r="I243" s="2316"/>
      <c r="J243" s="1241"/>
      <c r="K243" s="1241"/>
      <c r="L243" s="1239"/>
      <c r="M243" s="1239"/>
      <c r="N243" s="1239"/>
      <c r="O243" s="1239"/>
      <c r="P243" s="1239"/>
      <c r="Q243" s="1239"/>
      <c r="R243" s="1239"/>
      <c r="S243" s="2317"/>
      <c r="T243" s="2318"/>
      <c r="U243" s="2318"/>
      <c r="V243" s="2318"/>
      <c r="W243" s="2318"/>
      <c r="X243" s="2318"/>
      <c r="Y243" s="2318"/>
      <c r="Z243" s="2318"/>
      <c r="AA243" s="2318"/>
      <c r="AB243" s="2318"/>
      <c r="AC243" s="2318"/>
      <c r="AD243" s="2318"/>
      <c r="AE243" s="2318"/>
      <c r="AF243" s="2318"/>
      <c r="AG243" s="2318"/>
      <c r="AH243" s="2318"/>
      <c r="AI243" s="2318"/>
      <c r="AJ243" s="231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0" t="s">
        <v>2285</v>
      </c>
      <c r="I245" s="2320"/>
      <c r="J245" s="2320"/>
      <c r="K245" s="2320"/>
      <c r="L245" s="2320"/>
      <c r="M245" s="2320"/>
      <c r="N245" s="2320"/>
      <c r="O245" s="2320"/>
      <c r="P245" s="1239"/>
      <c r="Q245" s="1239"/>
      <c r="R245" s="1239"/>
      <c r="S245" s="2317"/>
      <c r="T245" s="2318"/>
      <c r="U245" s="2318"/>
      <c r="V245" s="2318"/>
      <c r="W245" s="2318"/>
      <c r="X245" s="2318"/>
      <c r="Y245" s="2318"/>
      <c r="Z245" s="2318"/>
      <c r="AA245" s="2318"/>
      <c r="AB245" s="2318"/>
      <c r="AC245" s="2318"/>
      <c r="AD245" s="2318"/>
      <c r="AE245" s="2318"/>
      <c r="AF245" s="2318"/>
      <c r="AG245" s="2318"/>
      <c r="AH245" s="2318"/>
      <c r="AI245" s="2318"/>
      <c r="AJ245" s="231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1" t="s">
        <v>2284</v>
      </c>
      <c r="I247" s="2321"/>
      <c r="J247" s="1239"/>
      <c r="K247" s="1239"/>
      <c r="L247" s="1239"/>
      <c r="M247" s="1239"/>
      <c r="N247" s="1239"/>
      <c r="O247" s="1239"/>
      <c r="P247" s="1239"/>
      <c r="Q247" s="1239"/>
      <c r="R247" s="1239"/>
      <c r="S247" s="2322"/>
      <c r="T247" s="2323"/>
      <c r="U247" s="2323"/>
      <c r="V247" s="2323"/>
      <c r="W247" s="2323"/>
      <c r="X247" s="2323"/>
      <c r="Y247" s="2323"/>
      <c r="Z247" s="2323"/>
      <c r="AA247" s="2323"/>
      <c r="AB247" s="2323"/>
      <c r="AC247" s="2323"/>
      <c r="AD247" s="2323"/>
      <c r="AE247" s="2323"/>
      <c r="AF247" s="2323"/>
      <c r="AG247" s="2323"/>
      <c r="AH247" s="2323"/>
      <c r="AI247" s="2323"/>
      <c r="AJ247" s="232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E32" sqref="AE32"/>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61" t="s">
        <v>1281</v>
      </c>
      <c r="B1" s="2361"/>
      <c r="C1" s="2361"/>
      <c r="D1" s="2361"/>
      <c r="E1" s="2361"/>
      <c r="F1" s="2361"/>
      <c r="G1" s="2361"/>
      <c r="H1" s="2361"/>
      <c r="I1" s="2361"/>
      <c r="J1" s="2361"/>
      <c r="K1" s="2361"/>
      <c r="L1" s="2361"/>
      <c r="M1" s="2361"/>
      <c r="N1" s="2361"/>
      <c r="O1" s="2361"/>
      <c r="P1" s="2361"/>
      <c r="Q1" s="2361"/>
      <c r="R1" s="2361"/>
      <c r="S1" s="2361"/>
      <c r="T1" s="2361"/>
      <c r="U1" s="2361"/>
      <c r="V1" s="2361"/>
      <c r="W1" s="2361"/>
      <c r="X1" s="2361"/>
      <c r="Y1" s="2361"/>
      <c r="Z1" s="2361"/>
      <c r="AA1" s="2361"/>
      <c r="AB1" s="2361"/>
      <c r="AC1" s="2361"/>
      <c r="AD1" s="2361"/>
      <c r="AE1" s="2361"/>
      <c r="AF1" s="2361"/>
      <c r="AG1" s="2361"/>
      <c r="AH1" s="2361"/>
      <c r="AI1" s="2361"/>
      <c r="AJ1" s="2361"/>
      <c r="AK1" s="2361"/>
      <c r="AL1" s="2361"/>
      <c r="AM1" s="2361"/>
      <c r="AN1" s="2361"/>
    </row>
    <row r="2" spans="1:40" ht="13" customHeight="1" thickBot="1">
      <c r="A2" s="2362"/>
      <c r="B2" s="2362"/>
      <c r="C2" s="2362"/>
      <c r="D2" s="2362"/>
      <c r="E2" s="2362"/>
      <c r="F2" s="2362"/>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319</v>
      </c>
      <c r="C5" s="404" t="s">
        <v>122</v>
      </c>
      <c r="F5" s="404"/>
    </row>
    <row r="6" spans="1:40" ht="13" customHeight="1">
      <c r="A6" s="404"/>
      <c r="C6" s="402" t="s">
        <v>1239</v>
      </c>
    </row>
    <row r="7" spans="1:40" ht="13" customHeight="1">
      <c r="B7" s="405"/>
      <c r="C7" s="406"/>
      <c r="D7" s="406"/>
      <c r="E7" s="406"/>
      <c r="F7" s="406"/>
      <c r="G7" s="406"/>
      <c r="H7" s="406"/>
      <c r="I7" s="406"/>
      <c r="J7" s="406"/>
      <c r="K7" s="406"/>
      <c r="L7" s="406"/>
      <c r="M7" s="406"/>
      <c r="N7" s="406"/>
      <c r="O7" s="406"/>
      <c r="P7" s="406"/>
      <c r="Q7" s="406"/>
      <c r="R7" s="406"/>
      <c r="S7" s="406"/>
      <c r="T7" s="2363" t="str">
        <f xml:space="preserve"> IF(T25=100%,'Sources and Basis Breakdown'!G2,'Sources and Basis Breakdown'!F2)</f>
        <v>30% PVC for New Const/
Rehabilitation
DDA/QCT
Building(s)</v>
      </c>
      <c r="U7" s="2363"/>
      <c r="V7" s="2363"/>
      <c r="W7" s="2363"/>
      <c r="X7" s="2363"/>
      <c r="Y7" s="2363" t="str">
        <f>IF(T25=100%,"",'Sources and Basis Breakdown'!G2)</f>
        <v>30% PVC for New Const/
Rehabilitation
NON-DDA/
NON-QCT Building(s)</v>
      </c>
      <c r="Z7" s="2363"/>
      <c r="AA7" s="2363"/>
      <c r="AB7" s="2363"/>
      <c r="AC7" s="2363"/>
      <c r="AD7" s="2363" t="str">
        <f xml:space="preserve"> IF(T25=100%, 'Sources and Basis Breakdown'!J2,'Sources and Basis Breakdown'!I2)</f>
        <v>30% PVC for Acquisition
DDA/QCT Building(s)</v>
      </c>
      <c r="AE7" s="2363"/>
      <c r="AF7" s="2363"/>
      <c r="AG7" s="2363"/>
      <c r="AH7" s="2363"/>
      <c r="AI7" s="2363" t="str">
        <f>IF(T25=100%,"",'Sources and Basis Breakdown'!J2)</f>
        <v>30% PVC for Acquisition
NON-DDA/
NON-QCT Building(s)</v>
      </c>
      <c r="AJ7" s="2363"/>
      <c r="AK7" s="2363"/>
      <c r="AL7" s="2363"/>
      <c r="AM7" s="2363"/>
    </row>
    <row r="8" spans="1:40" ht="13" customHeight="1">
      <c r="B8" s="407"/>
      <c r="T8" s="2363"/>
      <c r="U8" s="2363"/>
      <c r="V8" s="2363"/>
      <c r="W8" s="2363"/>
      <c r="X8" s="2363"/>
      <c r="Y8" s="2363"/>
      <c r="Z8" s="2363"/>
      <c r="AA8" s="2363"/>
      <c r="AB8" s="2363"/>
      <c r="AC8" s="2363"/>
      <c r="AD8" s="2363"/>
      <c r="AE8" s="2363"/>
      <c r="AF8" s="2363"/>
      <c r="AG8" s="2363"/>
      <c r="AH8" s="2363"/>
      <c r="AI8" s="2363"/>
      <c r="AJ8" s="2363"/>
      <c r="AK8" s="2363"/>
      <c r="AL8" s="2363"/>
      <c r="AM8" s="2363"/>
    </row>
    <row r="9" spans="1:40" ht="13" customHeight="1">
      <c r="B9" s="407"/>
      <c r="T9" s="2363"/>
      <c r="U9" s="2363"/>
      <c r="V9" s="2363"/>
      <c r="W9" s="2363"/>
      <c r="X9" s="2363"/>
      <c r="Y9" s="2363"/>
      <c r="Z9" s="2363"/>
      <c r="AA9" s="2363"/>
      <c r="AB9" s="2363"/>
      <c r="AC9" s="2363"/>
      <c r="AD9" s="2363"/>
      <c r="AE9" s="2363"/>
      <c r="AF9" s="2363"/>
      <c r="AG9" s="2363"/>
      <c r="AH9" s="2363"/>
      <c r="AI9" s="2363"/>
      <c r="AJ9" s="2363"/>
      <c r="AK9" s="2363"/>
      <c r="AL9" s="2363"/>
      <c r="AM9" s="2363"/>
    </row>
    <row r="10" spans="1:40" ht="13" customHeight="1">
      <c r="B10" s="408"/>
      <c r="C10" s="409"/>
      <c r="D10" s="409"/>
      <c r="E10" s="409"/>
      <c r="F10" s="409"/>
      <c r="G10" s="409"/>
      <c r="H10" s="409"/>
      <c r="I10" s="409"/>
      <c r="J10" s="409"/>
      <c r="K10" s="409"/>
      <c r="L10" s="409"/>
      <c r="M10" s="409"/>
      <c r="N10" s="409"/>
      <c r="O10" s="409"/>
      <c r="P10" s="409"/>
      <c r="Q10" s="409"/>
      <c r="R10" s="409"/>
      <c r="S10" s="409"/>
      <c r="T10" s="2363"/>
      <c r="U10" s="2363"/>
      <c r="V10" s="2363"/>
      <c r="W10" s="2363"/>
      <c r="X10" s="2363"/>
      <c r="Y10" s="2363"/>
      <c r="Z10" s="2363"/>
      <c r="AA10" s="2363"/>
      <c r="AB10" s="2363"/>
      <c r="AC10" s="2363"/>
      <c r="AD10" s="2363"/>
      <c r="AE10" s="2363"/>
      <c r="AF10" s="2363"/>
      <c r="AG10" s="2363"/>
      <c r="AH10" s="2363"/>
      <c r="AI10" s="2363"/>
      <c r="AJ10" s="2363"/>
      <c r="AK10" s="2363"/>
      <c r="AL10" s="2363"/>
      <c r="AM10" s="2363"/>
    </row>
    <row r="11" spans="1:40" ht="13" customHeight="1">
      <c r="B11" s="2342" t="s">
        <v>375</v>
      </c>
      <c r="C11" s="2343"/>
      <c r="D11" s="2343"/>
      <c r="E11" s="2343"/>
      <c r="F11" s="2343"/>
      <c r="G11" s="2343"/>
      <c r="H11" s="2343"/>
      <c r="I11" s="2343"/>
      <c r="J11" s="2343"/>
      <c r="K11" s="2343"/>
      <c r="L11" s="2343"/>
      <c r="M11" s="2343"/>
      <c r="N11" s="2343"/>
      <c r="O11" s="2343"/>
      <c r="P11" s="2343"/>
      <c r="Q11" s="2343"/>
      <c r="R11" s="2343"/>
      <c r="S11" s="2344"/>
      <c r="T11" s="2364">
        <f>IF('Sources and Basis Breakdown'!F107=0,'Sources and Basis Breakdown'!E107,'Sources and Basis Breakdown'!F107)</f>
        <v>46628634</v>
      </c>
      <c r="U11" s="2365"/>
      <c r="V11" s="2365"/>
      <c r="W11" s="2365"/>
      <c r="X11" s="2365"/>
      <c r="Y11" s="2364">
        <f>IF(Y7="",0,IF('Sources and Basis Breakdown'!G107+'Sources and Basis Breakdown'!F107='Sources and Basis Breakdown'!E107,'Sources and Basis Breakdown'!G107,0))</f>
        <v>0</v>
      </c>
      <c r="Z11" s="2365"/>
      <c r="AA11" s="2365"/>
      <c r="AB11" s="2365"/>
      <c r="AC11" s="2365"/>
      <c r="AD11" s="2365">
        <f>IF('Sources and Basis Breakdown'!I107=0,'Sources and Basis Breakdown'!H107,'Sources and Basis Breakdown'!I107)</f>
        <v>0</v>
      </c>
      <c r="AE11" s="2365"/>
      <c r="AF11" s="2365"/>
      <c r="AG11" s="2365"/>
      <c r="AH11" s="2365"/>
      <c r="AI11" s="2365">
        <f>IF(Y7="",0,IF('Sources and Basis Breakdown'!I107+'Sources and Basis Breakdown'!J107='Sources and Basis Breakdown'!H107,'Sources and Basis Breakdown'!J107,0))</f>
        <v>0</v>
      </c>
      <c r="AJ11" s="2365"/>
      <c r="AK11" s="2365"/>
      <c r="AL11" s="2365"/>
      <c r="AM11" s="2365"/>
    </row>
    <row r="12" spans="1:40" ht="13" customHeight="1">
      <c r="B12" s="2357" t="s">
        <v>498</v>
      </c>
      <c r="C12" s="1289"/>
      <c r="D12" s="1289"/>
      <c r="E12" s="1289"/>
      <c r="F12" s="1289"/>
      <c r="G12" s="1289"/>
      <c r="H12" s="1289"/>
      <c r="I12" s="1289"/>
      <c r="J12" s="1289"/>
      <c r="K12" s="1289"/>
      <c r="L12" s="1289"/>
      <c r="M12" s="1289"/>
      <c r="N12" s="1289"/>
      <c r="O12" s="1289"/>
      <c r="P12" s="1289"/>
      <c r="Q12" s="1289"/>
      <c r="R12" s="1289"/>
      <c r="S12" s="2358"/>
      <c r="T12" s="2330"/>
      <c r="U12" s="2331"/>
      <c r="V12" s="2331"/>
      <c r="W12" s="2331"/>
      <c r="X12" s="2332"/>
      <c r="Y12" s="2330"/>
      <c r="Z12" s="2331"/>
      <c r="AA12" s="2331"/>
      <c r="AB12" s="2331"/>
      <c r="AC12" s="2332"/>
      <c r="AD12" s="2330"/>
      <c r="AE12" s="2331"/>
      <c r="AF12" s="2331"/>
      <c r="AG12" s="2331"/>
      <c r="AH12" s="2332"/>
      <c r="AI12" s="2330"/>
      <c r="AJ12" s="2331"/>
      <c r="AK12" s="2331"/>
      <c r="AL12" s="2331"/>
      <c r="AM12" s="2332"/>
    </row>
    <row r="13" spans="1:40" ht="13" customHeight="1">
      <c r="B13" s="435"/>
      <c r="C13" s="2359" t="s">
        <v>499</v>
      </c>
      <c r="D13" s="2359"/>
      <c r="E13" s="2359"/>
      <c r="F13" s="2359"/>
      <c r="G13" s="2359"/>
      <c r="H13" s="2359"/>
      <c r="I13" s="2359"/>
      <c r="J13" s="2359"/>
      <c r="K13" s="2359"/>
      <c r="L13" s="2359"/>
      <c r="M13" s="2359"/>
      <c r="N13" s="2359"/>
      <c r="O13" s="2359"/>
      <c r="P13" s="2359"/>
      <c r="Q13" s="2359"/>
      <c r="R13" s="2359"/>
      <c r="S13" s="2360"/>
      <c r="T13" s="2366"/>
      <c r="U13" s="2367"/>
      <c r="V13" s="2367"/>
      <c r="W13" s="2367"/>
      <c r="X13" s="2367"/>
      <c r="Y13" s="2366"/>
      <c r="Z13" s="2367"/>
      <c r="AA13" s="2367"/>
      <c r="AB13" s="2367"/>
      <c r="AC13" s="2367"/>
      <c r="AD13" s="2367"/>
      <c r="AE13" s="2367"/>
      <c r="AF13" s="2367"/>
      <c r="AG13" s="2367"/>
      <c r="AH13" s="2367"/>
      <c r="AI13" s="2367"/>
      <c r="AJ13" s="2367"/>
      <c r="AK13" s="2367"/>
      <c r="AL13" s="2367"/>
      <c r="AM13" s="2367"/>
    </row>
    <row r="14" spans="1:40" ht="13" customHeight="1">
      <c r="B14" s="435"/>
      <c r="C14" s="2359" t="s">
        <v>500</v>
      </c>
      <c r="D14" s="2359"/>
      <c r="E14" s="2359"/>
      <c r="F14" s="2359"/>
      <c r="G14" s="2359"/>
      <c r="H14" s="2359"/>
      <c r="I14" s="2359"/>
      <c r="J14" s="2359"/>
      <c r="K14" s="2359"/>
      <c r="L14" s="2359"/>
      <c r="M14" s="2359"/>
      <c r="N14" s="2359"/>
      <c r="O14" s="2359"/>
      <c r="P14" s="2359"/>
      <c r="Q14" s="2359"/>
      <c r="R14" s="2359"/>
      <c r="S14" s="2360"/>
      <c r="T14" s="2333"/>
      <c r="U14" s="2334"/>
      <c r="V14" s="2334"/>
      <c r="W14" s="2334"/>
      <c r="X14" s="2334"/>
      <c r="Y14" s="2333"/>
      <c r="Z14" s="2334"/>
      <c r="AA14" s="2334"/>
      <c r="AB14" s="2334"/>
      <c r="AC14" s="2334"/>
      <c r="AD14" s="2334"/>
      <c r="AE14" s="2334"/>
      <c r="AF14" s="2334"/>
      <c r="AG14" s="2334"/>
      <c r="AH14" s="2334"/>
      <c r="AI14" s="2334"/>
      <c r="AJ14" s="2334"/>
      <c r="AK14" s="2334"/>
      <c r="AL14" s="2334"/>
      <c r="AM14" s="2334"/>
    </row>
    <row r="15" spans="1:40" ht="13" customHeight="1">
      <c r="B15" s="435"/>
      <c r="C15" s="2359" t="s">
        <v>501</v>
      </c>
      <c r="D15" s="2359"/>
      <c r="E15" s="2359"/>
      <c r="F15" s="2359"/>
      <c r="G15" s="2359"/>
      <c r="H15" s="2359"/>
      <c r="I15" s="2359"/>
      <c r="J15" s="2359"/>
      <c r="K15" s="2359"/>
      <c r="L15" s="2359"/>
      <c r="M15" s="2359"/>
      <c r="N15" s="2359"/>
      <c r="O15" s="2359"/>
      <c r="P15" s="2359"/>
      <c r="Q15" s="2359"/>
      <c r="R15" s="2359"/>
      <c r="S15" s="2360"/>
      <c r="T15" s="2333"/>
      <c r="U15" s="2334"/>
      <c r="V15" s="2334"/>
      <c r="W15" s="2334"/>
      <c r="X15" s="2334"/>
      <c r="Y15" s="2333"/>
      <c r="Z15" s="2334"/>
      <c r="AA15" s="2334"/>
      <c r="AB15" s="2334"/>
      <c r="AC15" s="2334"/>
      <c r="AD15" s="2334"/>
      <c r="AE15" s="2334"/>
      <c r="AF15" s="2334"/>
      <c r="AG15" s="2334"/>
      <c r="AH15" s="2334"/>
      <c r="AI15" s="2334"/>
      <c r="AJ15" s="2334"/>
      <c r="AK15" s="2334"/>
      <c r="AL15" s="2334"/>
      <c r="AM15" s="2334"/>
    </row>
    <row r="16" spans="1:40" ht="13" customHeight="1">
      <c r="B16" s="435"/>
      <c r="C16" s="2359" t="s">
        <v>806</v>
      </c>
      <c r="D16" s="2359"/>
      <c r="E16" s="2359"/>
      <c r="F16" s="2359"/>
      <c r="G16" s="2359"/>
      <c r="H16" s="2359"/>
      <c r="I16" s="2359"/>
      <c r="J16" s="2359"/>
      <c r="K16" s="2359"/>
      <c r="L16" s="2359"/>
      <c r="M16" s="2359"/>
      <c r="N16" s="2359"/>
      <c r="O16" s="2359"/>
      <c r="P16" s="2359"/>
      <c r="Q16" s="2359"/>
      <c r="R16" s="2359"/>
      <c r="S16" s="2360"/>
      <c r="T16" s="2333"/>
      <c r="U16" s="2334"/>
      <c r="V16" s="2334"/>
      <c r="W16" s="2334"/>
      <c r="X16" s="2334"/>
      <c r="Y16" s="2333"/>
      <c r="Z16" s="2334"/>
      <c r="AA16" s="2334"/>
      <c r="AB16" s="2334"/>
      <c r="AC16" s="2334"/>
      <c r="AD16" s="2334"/>
      <c r="AE16" s="2334"/>
      <c r="AF16" s="2334"/>
      <c r="AG16" s="2334"/>
      <c r="AH16" s="2334"/>
      <c r="AI16" s="2334"/>
      <c r="AJ16" s="2334"/>
      <c r="AK16" s="2334"/>
      <c r="AL16" s="2334"/>
      <c r="AM16" s="2334"/>
    </row>
    <row r="17" spans="1:40" ht="13" customHeight="1">
      <c r="B17" s="435"/>
      <c r="C17" s="2359" t="s">
        <v>502</v>
      </c>
      <c r="D17" s="2359"/>
      <c r="E17" s="2359"/>
      <c r="F17" s="2359"/>
      <c r="G17" s="2359"/>
      <c r="H17" s="2359"/>
      <c r="I17" s="2359"/>
      <c r="J17" s="2359"/>
      <c r="K17" s="2359"/>
      <c r="L17" s="2359"/>
      <c r="M17" s="2359"/>
      <c r="N17" s="2359"/>
      <c r="O17" s="2359"/>
      <c r="P17" s="2359"/>
      <c r="Q17" s="2359"/>
      <c r="R17" s="2359"/>
      <c r="S17" s="2360"/>
      <c r="T17" s="2333"/>
      <c r="U17" s="2334"/>
      <c r="V17" s="2334"/>
      <c r="W17" s="2334"/>
      <c r="X17" s="2334"/>
      <c r="Y17" s="2333"/>
      <c r="Z17" s="2334"/>
      <c r="AA17" s="2334"/>
      <c r="AB17" s="2334"/>
      <c r="AC17" s="2334"/>
      <c r="AD17" s="2334"/>
      <c r="AE17" s="2334"/>
      <c r="AF17" s="2334"/>
      <c r="AG17" s="2334"/>
      <c r="AH17" s="2334"/>
      <c r="AI17" s="2334"/>
      <c r="AJ17" s="2334"/>
      <c r="AK17" s="2334"/>
      <c r="AL17" s="2334"/>
      <c r="AM17" s="2334"/>
    </row>
    <row r="18" spans="1:40" ht="13" customHeight="1">
      <c r="A18"/>
      <c r="B18" s="1150"/>
      <c r="C18" s="1815" t="s">
        <v>961</v>
      </c>
      <c r="D18" s="1815"/>
      <c r="E18" s="1815"/>
      <c r="F18" s="1815"/>
      <c r="G18" s="1815"/>
      <c r="H18" s="1815"/>
      <c r="I18" s="1815"/>
      <c r="J18" s="1815"/>
      <c r="K18" s="1815"/>
      <c r="L18" s="1815"/>
      <c r="M18" s="1815"/>
      <c r="N18" s="1815"/>
      <c r="O18" s="1815"/>
      <c r="P18" s="1815"/>
      <c r="Q18" s="1815"/>
      <c r="R18" s="1815"/>
      <c r="S18" s="1816"/>
      <c r="T18" s="2333"/>
      <c r="U18" s="2334"/>
      <c r="V18" s="2334"/>
      <c r="W18" s="2334"/>
      <c r="X18" s="2334"/>
      <c r="Y18" s="2333"/>
      <c r="Z18" s="2334"/>
      <c r="AA18" s="2334"/>
      <c r="AB18" s="2334"/>
      <c r="AC18" s="2334"/>
      <c r="AD18" s="2334"/>
      <c r="AE18" s="2334"/>
      <c r="AF18" s="2334"/>
      <c r="AG18" s="2334"/>
      <c r="AH18" s="2334"/>
      <c r="AI18" s="2334"/>
      <c r="AJ18" s="2334"/>
      <c r="AK18" s="2334"/>
      <c r="AL18" s="2334"/>
      <c r="AM18" s="2334"/>
    </row>
    <row r="19" spans="1:40" ht="13" customHeight="1">
      <c r="B19" s="1150"/>
      <c r="C19" s="1815" t="s">
        <v>961</v>
      </c>
      <c r="D19" s="1815"/>
      <c r="E19" s="1815"/>
      <c r="F19" s="1815"/>
      <c r="G19" s="1815"/>
      <c r="H19" s="1815"/>
      <c r="I19" s="1815"/>
      <c r="J19" s="1815"/>
      <c r="K19" s="1815"/>
      <c r="L19" s="1815"/>
      <c r="M19" s="1815"/>
      <c r="N19" s="1815"/>
      <c r="O19" s="1815"/>
      <c r="P19" s="1815"/>
      <c r="Q19" s="1815"/>
      <c r="R19" s="1815"/>
      <c r="S19" s="1816"/>
      <c r="T19" s="2333"/>
      <c r="U19" s="2334"/>
      <c r="V19" s="2334"/>
      <c r="W19" s="2334"/>
      <c r="X19" s="2334"/>
      <c r="Y19" s="2333"/>
      <c r="Z19" s="2334"/>
      <c r="AA19" s="2334"/>
      <c r="AB19" s="2334"/>
      <c r="AC19" s="2334"/>
      <c r="AD19" s="2334"/>
      <c r="AE19" s="2334"/>
      <c r="AF19" s="2334"/>
      <c r="AG19" s="2334"/>
      <c r="AH19" s="2334"/>
      <c r="AI19" s="2334"/>
      <c r="AJ19" s="2334"/>
      <c r="AK19" s="2334"/>
      <c r="AL19" s="2334"/>
      <c r="AM19" s="2334"/>
    </row>
    <row r="20" spans="1:40" ht="13" customHeight="1">
      <c r="B20" s="2342" t="s">
        <v>503</v>
      </c>
      <c r="C20" s="2343"/>
      <c r="D20" s="2343"/>
      <c r="E20" s="2343"/>
      <c r="F20" s="2343"/>
      <c r="G20" s="2343"/>
      <c r="H20" s="2343"/>
      <c r="I20" s="2343"/>
      <c r="J20" s="2343"/>
      <c r="K20" s="2343"/>
      <c r="L20" s="2343"/>
      <c r="M20" s="2343"/>
      <c r="N20" s="2343"/>
      <c r="O20" s="2343"/>
      <c r="P20" s="2343"/>
      <c r="Q20" s="2343"/>
      <c r="R20" s="2343"/>
      <c r="S20" s="2344"/>
      <c r="T20" s="2335">
        <f>SUM(T13:X19)</f>
        <v>0</v>
      </c>
      <c r="U20" s="2336"/>
      <c r="V20" s="2336"/>
      <c r="W20" s="2336"/>
      <c r="X20" s="2336"/>
      <c r="Y20" s="2335">
        <f>SUM(Y13:AC19)</f>
        <v>0</v>
      </c>
      <c r="Z20" s="2336"/>
      <c r="AA20" s="2336"/>
      <c r="AB20" s="2336"/>
      <c r="AC20" s="2336"/>
      <c r="AD20" s="2337">
        <f>SUM(AD13:AH19)</f>
        <v>0</v>
      </c>
      <c r="AE20" s="2338"/>
      <c r="AF20" s="2338"/>
      <c r="AG20" s="2338"/>
      <c r="AH20" s="2335"/>
      <c r="AI20" s="2337">
        <f>SUM(AI13:AM19)</f>
        <v>0</v>
      </c>
      <c r="AJ20" s="2338"/>
      <c r="AK20" s="2338"/>
      <c r="AL20" s="2338"/>
      <c r="AM20" s="2335"/>
    </row>
    <row r="21" spans="1:40" ht="13" customHeight="1">
      <c r="B21" s="2342" t="s">
        <v>1264</v>
      </c>
      <c r="C21" s="2343"/>
      <c r="D21" s="2343"/>
      <c r="E21" s="2343"/>
      <c r="F21" s="2343"/>
      <c r="G21" s="2343"/>
      <c r="H21" s="2343"/>
      <c r="I21" s="2343"/>
      <c r="J21" s="2343"/>
      <c r="K21" s="2343"/>
      <c r="L21" s="2343"/>
      <c r="M21" s="2343"/>
      <c r="N21" s="2343"/>
      <c r="O21" s="2343"/>
      <c r="P21" s="2343"/>
      <c r="Q21" s="2343"/>
      <c r="R21" s="2343"/>
      <c r="S21" s="2344"/>
      <c r="T21" s="2333"/>
      <c r="U21" s="2334"/>
      <c r="V21" s="2334"/>
      <c r="W21" s="2334"/>
      <c r="X21" s="2334"/>
      <c r="Y21" s="2333"/>
      <c r="Z21" s="2334"/>
      <c r="AA21" s="2334"/>
      <c r="AB21" s="2334"/>
      <c r="AC21" s="2334"/>
      <c r="AD21" s="2330"/>
      <c r="AE21" s="2331"/>
      <c r="AF21" s="2331"/>
      <c r="AG21" s="2331"/>
      <c r="AH21" s="2332"/>
      <c r="AI21" s="2330"/>
      <c r="AJ21" s="2331"/>
      <c r="AK21" s="2331"/>
      <c r="AL21" s="2331"/>
      <c r="AM21" s="2332"/>
    </row>
    <row r="22" spans="1:40" ht="13" customHeight="1">
      <c r="B22" s="2342" t="s">
        <v>504</v>
      </c>
      <c r="C22" s="2343"/>
      <c r="D22" s="2343"/>
      <c r="E22" s="2343"/>
      <c r="F22" s="2343"/>
      <c r="G22" s="2343"/>
      <c r="H22" s="2343"/>
      <c r="I22" s="2343"/>
      <c r="J22" s="2343"/>
      <c r="K22" s="2343"/>
      <c r="L22" s="2343"/>
      <c r="M22" s="2343"/>
      <c r="N22" s="2343"/>
      <c r="O22" s="2343"/>
      <c r="P22" s="2343"/>
      <c r="Q22" s="2343"/>
      <c r="R22" s="2343"/>
      <c r="S22" s="2344"/>
      <c r="T22" s="2368">
        <f>(ABS(T20)+ABS(T21))*-1</f>
        <v>0</v>
      </c>
      <c r="U22" s="2369"/>
      <c r="V22" s="2369"/>
      <c r="W22" s="2369"/>
      <c r="X22" s="2369"/>
      <c r="Y22" s="2368">
        <f>(Y20+Y21)*-1</f>
        <v>0</v>
      </c>
      <c r="Z22" s="2369"/>
      <c r="AA22" s="2369"/>
      <c r="AB22" s="2369"/>
      <c r="AC22" s="2369"/>
      <c r="AD22" s="2370">
        <f>(AD20)*-1</f>
        <v>0</v>
      </c>
      <c r="AE22" s="2371"/>
      <c r="AF22" s="2371"/>
      <c r="AG22" s="2371"/>
      <c r="AH22" s="2368"/>
      <c r="AI22" s="2370">
        <f>(AI20)*-1</f>
        <v>0</v>
      </c>
      <c r="AJ22" s="2371"/>
      <c r="AK22" s="2371"/>
      <c r="AL22" s="2371"/>
      <c r="AM22" s="2368"/>
    </row>
    <row r="23" spans="1:40" ht="13" customHeight="1">
      <c r="B23" s="2342" t="s">
        <v>505</v>
      </c>
      <c r="C23" s="2343"/>
      <c r="D23" s="2343"/>
      <c r="E23" s="2343"/>
      <c r="F23" s="2343"/>
      <c r="G23" s="2343"/>
      <c r="H23" s="2343"/>
      <c r="I23" s="2343"/>
      <c r="J23" s="2343"/>
      <c r="K23" s="2343"/>
      <c r="L23" s="2343"/>
      <c r="M23" s="2343"/>
      <c r="N23" s="2343"/>
      <c r="O23" s="2343"/>
      <c r="P23" s="2343"/>
      <c r="Q23" s="2343"/>
      <c r="R23" s="2343"/>
      <c r="S23" s="2344"/>
      <c r="T23" s="2335">
        <f>T11+T22</f>
        <v>46628634</v>
      </c>
      <c r="U23" s="2336"/>
      <c r="V23" s="2336"/>
      <c r="W23" s="2336"/>
      <c r="X23" s="2336"/>
      <c r="Y23" s="2335">
        <f>Y11+Y22</f>
        <v>0</v>
      </c>
      <c r="Z23" s="2336"/>
      <c r="AA23" s="2336"/>
      <c r="AB23" s="2336"/>
      <c r="AC23" s="2336"/>
      <c r="AD23" s="2335">
        <f>AD11+AD22</f>
        <v>0</v>
      </c>
      <c r="AE23" s="2336"/>
      <c r="AF23" s="2336"/>
      <c r="AG23" s="2336"/>
      <c r="AH23" s="2336"/>
      <c r="AI23" s="2335">
        <f>AI11+AI22</f>
        <v>0</v>
      </c>
      <c r="AJ23" s="2336"/>
      <c r="AK23" s="2336"/>
      <c r="AL23" s="2336"/>
      <c r="AM23" s="2336"/>
    </row>
    <row r="24" spans="1:40" ht="13" customHeight="1">
      <c r="B24" s="2342" t="s">
        <v>962</v>
      </c>
      <c r="C24" s="2343"/>
      <c r="D24" s="2343"/>
      <c r="E24" s="2343"/>
      <c r="F24" s="2343"/>
      <c r="G24" s="2343"/>
      <c r="H24" s="2343"/>
      <c r="I24" s="2343"/>
      <c r="J24" s="2343"/>
      <c r="K24" s="2343"/>
      <c r="L24" s="2343"/>
      <c r="M24" s="2343"/>
      <c r="N24" s="2343"/>
      <c r="O24" s="2343"/>
      <c r="P24" s="2343"/>
      <c r="Q24" s="2343"/>
      <c r="R24" s="2343"/>
      <c r="S24" s="2344"/>
      <c r="T24" s="2337">
        <f>Application!AJ1053</f>
        <v>78549403.050000012</v>
      </c>
      <c r="U24" s="2338"/>
      <c r="V24" s="2338"/>
      <c r="W24" s="2338"/>
      <c r="X24" s="2338"/>
      <c r="Y24" s="2338"/>
      <c r="Z24" s="2338"/>
      <c r="AA24" s="2338"/>
      <c r="AB24" s="2338"/>
      <c r="AC24" s="2338"/>
      <c r="AD24" s="2338"/>
      <c r="AE24" s="2338"/>
      <c r="AF24" s="2338"/>
      <c r="AG24" s="2338"/>
      <c r="AH24" s="2338"/>
      <c r="AI24" s="2338"/>
      <c r="AJ24" s="2338"/>
      <c r="AK24" s="2338"/>
      <c r="AL24" s="2338"/>
      <c r="AM24" s="2335"/>
    </row>
    <row r="25" spans="1:40" ht="13" customHeight="1">
      <c r="B25" s="2346" t="s">
        <v>1265</v>
      </c>
      <c r="C25" s="2347"/>
      <c r="D25" s="2347"/>
      <c r="E25" s="2347"/>
      <c r="F25" s="2347"/>
      <c r="G25" s="2347"/>
      <c r="H25" s="2347"/>
      <c r="I25" s="2347"/>
      <c r="J25" s="2347"/>
      <c r="K25" s="2347"/>
      <c r="L25" s="2347"/>
      <c r="M25" s="2347"/>
      <c r="N25" s="2347"/>
      <c r="O25" s="2347"/>
      <c r="P25" s="2347"/>
      <c r="Q25" s="2347"/>
      <c r="R25" s="2347"/>
      <c r="S25" s="2348"/>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3" customHeight="1">
      <c r="B26" s="2342" t="s">
        <v>506</v>
      </c>
      <c r="C26" s="2343"/>
      <c r="D26" s="2343"/>
      <c r="E26" s="2343"/>
      <c r="F26" s="2343"/>
      <c r="G26" s="2343"/>
      <c r="H26" s="2343"/>
      <c r="I26" s="2343"/>
      <c r="J26" s="2343"/>
      <c r="K26" s="2343"/>
      <c r="L26" s="2343"/>
      <c r="M26" s="2343"/>
      <c r="N26" s="2343"/>
      <c r="O26" s="2343"/>
      <c r="P26" s="2343"/>
      <c r="Q26" s="2343"/>
      <c r="R26" s="2343"/>
      <c r="S26" s="2344"/>
      <c r="T26" s="2335">
        <f>T23*T25</f>
        <v>60617224.200000003</v>
      </c>
      <c r="U26" s="2336"/>
      <c r="V26" s="2336"/>
      <c r="W26" s="2336"/>
      <c r="X26" s="2336"/>
      <c r="Y26" s="2335">
        <f>Y23*Y25</f>
        <v>0</v>
      </c>
      <c r="Z26" s="2336"/>
      <c r="AA26" s="2336"/>
      <c r="AB26" s="2336"/>
      <c r="AC26" s="2336"/>
      <c r="AD26" s="2335">
        <f>AD23*AD25</f>
        <v>0</v>
      </c>
      <c r="AE26" s="2336"/>
      <c r="AF26" s="2336"/>
      <c r="AG26" s="2336"/>
      <c r="AH26" s="2336"/>
      <c r="AI26" s="2335">
        <f>AI23*AI25</f>
        <v>0</v>
      </c>
      <c r="AJ26" s="2336"/>
      <c r="AK26" s="2336"/>
      <c r="AL26" s="2336"/>
      <c r="AM26" s="2336"/>
    </row>
    <row r="27" spans="1:40" ht="13" customHeight="1">
      <c r="A27" s="410"/>
      <c r="B27" s="2349" t="s">
        <v>426</v>
      </c>
      <c r="C27" s="2350"/>
      <c r="D27" s="2350"/>
      <c r="E27" s="2350"/>
      <c r="F27" s="2350"/>
      <c r="G27" s="2350"/>
      <c r="H27" s="2350"/>
      <c r="I27" s="2350"/>
      <c r="J27" s="2350"/>
      <c r="K27" s="2350"/>
      <c r="L27" s="2350"/>
      <c r="M27" s="2350"/>
      <c r="N27" s="2350"/>
      <c r="O27" s="2350"/>
      <c r="P27" s="2350"/>
      <c r="Q27" s="2350"/>
      <c r="R27" s="2350"/>
      <c r="S27" s="2351"/>
      <c r="T27" s="2355">
        <f>Application!$AG$445</f>
        <v>1</v>
      </c>
      <c r="U27" s="2356"/>
      <c r="V27" s="2356"/>
      <c r="W27" s="2356"/>
      <c r="X27" s="2356"/>
      <c r="Y27" s="2355">
        <f>Application!$AG$445</f>
        <v>1</v>
      </c>
      <c r="Z27" s="2356"/>
      <c r="AA27" s="2356"/>
      <c r="AB27" s="2356"/>
      <c r="AC27" s="2356"/>
      <c r="AD27" s="2355">
        <f>Application!$AG$445</f>
        <v>1</v>
      </c>
      <c r="AE27" s="2356"/>
      <c r="AF27" s="2356"/>
      <c r="AG27" s="2356"/>
      <c r="AH27" s="2356"/>
      <c r="AI27" s="2355">
        <f>Application!$AG$445</f>
        <v>1</v>
      </c>
      <c r="AJ27" s="2356"/>
      <c r="AK27" s="2356"/>
      <c r="AL27" s="2356"/>
      <c r="AM27" s="2356"/>
    </row>
    <row r="28" spans="1:40" ht="13" customHeight="1">
      <c r="A28" s="404"/>
      <c r="B28" s="2342" t="s">
        <v>507</v>
      </c>
      <c r="C28" s="2343"/>
      <c r="D28" s="2343"/>
      <c r="E28" s="2343"/>
      <c r="F28" s="2343"/>
      <c r="G28" s="2343"/>
      <c r="H28" s="2343"/>
      <c r="I28" s="2343"/>
      <c r="J28" s="2343"/>
      <c r="K28" s="2343"/>
      <c r="L28" s="2343"/>
      <c r="M28" s="2343"/>
      <c r="N28" s="2343"/>
      <c r="O28" s="2343"/>
      <c r="P28" s="2343"/>
      <c r="Q28" s="2343"/>
      <c r="R28" s="2343"/>
      <c r="S28" s="2344"/>
      <c r="T28" s="2335">
        <f>IF(ISERROR((T26*T27)),0,(T26*T27))</f>
        <v>60617224.200000003</v>
      </c>
      <c r="U28" s="2336"/>
      <c r="V28" s="2336"/>
      <c r="W28" s="2336"/>
      <c r="X28" s="2336"/>
      <c r="Y28" s="2335">
        <f>IF(ISERROR((Y26*Y27)),0,(Y26*Y27))</f>
        <v>0</v>
      </c>
      <c r="Z28" s="2336"/>
      <c r="AA28" s="2336"/>
      <c r="AB28" s="2336"/>
      <c r="AC28" s="2336"/>
      <c r="AD28" s="2335">
        <f>IF(ISERROR((AD26*AD27)),0,(AD26*AD27))</f>
        <v>0</v>
      </c>
      <c r="AE28" s="2336"/>
      <c r="AF28" s="2336"/>
      <c r="AG28" s="2336"/>
      <c r="AH28" s="2336"/>
      <c r="AI28" s="2335">
        <f>IF(ISERROR((AI26*AI27)),0,(AI26*AI27))</f>
        <v>0</v>
      </c>
      <c r="AJ28" s="2336"/>
      <c r="AK28" s="2336"/>
      <c r="AL28" s="2336"/>
      <c r="AM28" s="2336"/>
    </row>
    <row r="29" spans="1:40" ht="13" customHeight="1">
      <c r="B29" s="2342" t="s">
        <v>524</v>
      </c>
      <c r="C29" s="2343"/>
      <c r="D29" s="2343"/>
      <c r="E29" s="2343"/>
      <c r="F29" s="2343"/>
      <c r="G29" s="2343"/>
      <c r="H29" s="2343"/>
      <c r="I29" s="2343"/>
      <c r="J29" s="2343"/>
      <c r="K29" s="2343"/>
      <c r="L29" s="2343"/>
      <c r="M29" s="2343"/>
      <c r="N29" s="2343"/>
      <c r="O29" s="2343"/>
      <c r="P29" s="2343"/>
      <c r="Q29" s="2343"/>
      <c r="R29" s="2343"/>
      <c r="S29" s="2344"/>
      <c r="T29" s="2337">
        <f>T28+Y28+AD28+AI28</f>
        <v>60617224.200000003</v>
      </c>
      <c r="U29" s="2338"/>
      <c r="V29" s="2338"/>
      <c r="W29" s="2338"/>
      <c r="X29" s="2338"/>
      <c r="Y29" s="2338"/>
      <c r="Z29" s="2338"/>
      <c r="AA29" s="2338"/>
      <c r="AB29" s="2338"/>
      <c r="AC29" s="2338"/>
      <c r="AD29" s="2338"/>
      <c r="AE29" s="2338"/>
      <c r="AF29" s="2338"/>
      <c r="AG29" s="2338"/>
      <c r="AH29" s="2338"/>
      <c r="AI29" s="2338"/>
      <c r="AJ29" s="2338"/>
      <c r="AK29" s="2338"/>
      <c r="AL29" s="2338"/>
      <c r="AM29" s="2335"/>
    </row>
    <row r="30" spans="1:40" ht="13" customHeight="1">
      <c r="B30" s="2345" t="s">
        <v>1267</v>
      </c>
      <c r="C30" s="2345"/>
      <c r="D30" s="2345"/>
      <c r="E30" s="2345"/>
      <c r="F30" s="2345"/>
      <c r="G30" s="2345"/>
      <c r="H30" s="2345"/>
      <c r="I30" s="2345"/>
      <c r="J30" s="2345"/>
      <c r="K30" s="2345"/>
      <c r="L30" s="2345"/>
      <c r="M30" s="2345"/>
      <c r="N30" s="2345"/>
      <c r="O30" s="2345"/>
      <c r="P30" s="2345"/>
      <c r="Q30" s="2345"/>
      <c r="R30" s="2345"/>
      <c r="S30" s="2345"/>
      <c r="T30" s="2345"/>
      <c r="U30" s="2345"/>
      <c r="V30" s="2345"/>
      <c r="W30" s="2345"/>
      <c r="X30" s="2345"/>
      <c r="Y30" s="2345"/>
      <c r="Z30" s="2345"/>
      <c r="AA30" s="2345"/>
      <c r="AB30" s="2345"/>
      <c r="AC30" s="2345"/>
      <c r="AD30" s="2345"/>
      <c r="AE30" s="2345"/>
      <c r="AF30" s="2345"/>
      <c r="AG30" s="2345"/>
      <c r="AH30" s="2345"/>
      <c r="AI30" s="2345"/>
      <c r="AJ30" s="2345"/>
      <c r="AK30" s="2345"/>
      <c r="AL30" s="2345"/>
      <c r="AM30" s="2345"/>
    </row>
    <row r="31" spans="1:40" ht="13" customHeight="1">
      <c r="B31" s="2345" t="s">
        <v>1266</v>
      </c>
      <c r="C31" s="2345"/>
      <c r="D31" s="2345"/>
      <c r="E31" s="2345"/>
      <c r="F31" s="2345"/>
      <c r="G31" s="2345"/>
      <c r="H31" s="2345"/>
      <c r="I31" s="2345"/>
      <c r="J31" s="2345"/>
      <c r="K31" s="2345"/>
      <c r="L31" s="2345"/>
      <c r="M31" s="2345"/>
      <c r="N31" s="2345"/>
      <c r="O31" s="2345"/>
      <c r="P31" s="2345"/>
      <c r="Q31" s="2345"/>
      <c r="R31" s="2345"/>
      <c r="S31" s="2345"/>
      <c r="T31" s="2345"/>
      <c r="U31" s="2345"/>
      <c r="V31" s="2345"/>
      <c r="W31" s="2345"/>
      <c r="X31" s="2345"/>
      <c r="Y31" s="2345"/>
      <c r="Z31" s="2345"/>
      <c r="AA31" s="2345"/>
      <c r="AB31" s="2345"/>
      <c r="AC31" s="2345"/>
      <c r="AD31" s="2345"/>
      <c r="AE31" s="2345"/>
      <c r="AF31" s="2345"/>
      <c r="AG31" s="2345"/>
      <c r="AH31" s="2345"/>
      <c r="AI31" s="2345"/>
      <c r="AJ31" s="2345"/>
      <c r="AK31" s="2345"/>
      <c r="AL31" s="2345"/>
      <c r="AM31" s="2345"/>
      <c r="AN31" s="518"/>
    </row>
    <row r="32" spans="1:40" ht="13"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577</v>
      </c>
      <c r="C34" s="404" t="s">
        <v>569</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3" t="s">
        <v>1155</v>
      </c>
      <c r="Z35" s="2363"/>
      <c r="AA35" s="2363"/>
      <c r="AB35" s="2363"/>
      <c r="AC35" s="2363"/>
      <c r="AD35" s="2383" t="s">
        <v>369</v>
      </c>
      <c r="AE35" s="2383"/>
      <c r="AF35" s="2383"/>
      <c r="AG35" s="2383"/>
      <c r="AH35" s="2383"/>
    </row>
    <row r="36" spans="1:76" ht="13" customHeight="1">
      <c r="B36" s="407"/>
      <c r="X36" s="412"/>
      <c r="Y36" s="2363"/>
      <c r="Z36" s="2363"/>
      <c r="AA36" s="2363"/>
      <c r="AB36" s="2363"/>
      <c r="AC36" s="2363"/>
      <c r="AD36" s="2383"/>
      <c r="AE36" s="2383"/>
      <c r="AF36" s="2383"/>
      <c r="AG36" s="2383"/>
      <c r="AH36" s="2383"/>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3"/>
      <c r="Z37" s="2363"/>
      <c r="AA37" s="2363"/>
      <c r="AB37" s="2363"/>
      <c r="AC37" s="2363"/>
      <c r="AD37" s="2383"/>
      <c r="AE37" s="2383"/>
      <c r="AF37" s="2383"/>
      <c r="AG37" s="2383"/>
      <c r="AH37" s="2383"/>
    </row>
    <row r="38" spans="1:76" ht="13" customHeight="1">
      <c r="A38" s="404"/>
      <c r="B38" s="2342" t="s">
        <v>507</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60617224.200000003</v>
      </c>
      <c r="Z38" s="2336"/>
      <c r="AA38" s="2336"/>
      <c r="AB38" s="2336"/>
      <c r="AC38" s="2336"/>
      <c r="AD38" s="2336">
        <f>IF(T24&gt;=(T23+Y23+AD23+AI23),AD28+AI28,0)</f>
        <v>0</v>
      </c>
      <c r="AE38" s="2336"/>
      <c r="AF38" s="2336"/>
      <c r="AG38" s="2336"/>
      <c r="AH38" s="2336"/>
    </row>
    <row r="39" spans="1:76" ht="13" customHeight="1">
      <c r="B39" s="2342" t="s">
        <v>1692</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84">
        <v>0.04</v>
      </c>
      <c r="Z39" s="2384"/>
      <c r="AA39" s="2384"/>
      <c r="AB39" s="2384"/>
      <c r="AC39" s="2384"/>
      <c r="AD39" s="2384">
        <v>0.04</v>
      </c>
      <c r="AE39" s="2384"/>
      <c r="AF39" s="2384"/>
      <c r="AG39" s="2384"/>
      <c r="AH39" s="2384"/>
    </row>
    <row r="40" spans="1:76" ht="13" customHeight="1">
      <c r="A40" s="404"/>
      <c r="B40" s="2342" t="s">
        <v>643</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2424689</v>
      </c>
      <c r="Z40" s="2336"/>
      <c r="AA40" s="2336"/>
      <c r="AB40" s="2336"/>
      <c r="AC40" s="2336"/>
      <c r="AD40" s="2335">
        <f>ROUND(AD38*AD39,0)</f>
        <v>0</v>
      </c>
      <c r="AE40" s="2336"/>
      <c r="AF40" s="2336"/>
      <c r="AG40" s="2336"/>
      <c r="AH40" s="2336"/>
    </row>
    <row r="41" spans="1:76" ht="13" customHeight="1">
      <c r="B41" s="2342" t="s">
        <v>644</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37">
        <f>Y40+AD40</f>
        <v>2424689</v>
      </c>
      <c r="Z41" s="2338"/>
      <c r="AA41" s="2338"/>
      <c r="AB41" s="2338"/>
      <c r="AC41" s="2338"/>
      <c r="AD41" s="2338"/>
      <c r="AE41" s="2338"/>
      <c r="AF41" s="2338"/>
      <c r="AG41" s="2338"/>
      <c r="AH41" s="2335"/>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40" t="s">
        <v>1277</v>
      </c>
      <c r="B44" s="2340"/>
      <c r="C44" s="2340"/>
      <c r="D44" s="2340"/>
      <c r="E44" s="2340"/>
      <c r="F44" s="2340"/>
      <c r="G44" s="2340"/>
      <c r="H44" s="2340"/>
      <c r="I44" s="2340"/>
      <c r="J44" s="2340"/>
      <c r="K44" s="2340"/>
      <c r="L44" s="2340"/>
      <c r="M44" s="2340"/>
      <c r="N44" s="2340"/>
      <c r="O44" s="2340"/>
      <c r="P44" s="2340"/>
      <c r="Q44" s="2340"/>
      <c r="R44" s="2340"/>
      <c r="S44" s="2340"/>
      <c r="T44" s="2340"/>
      <c r="U44" s="2340"/>
      <c r="V44" s="2340"/>
      <c r="W44" s="2340"/>
      <c r="X44" s="2340"/>
      <c r="Y44" s="2340"/>
      <c r="Z44" s="2340"/>
      <c r="AA44" s="2340"/>
      <c r="AB44" s="2340"/>
      <c r="AC44" s="2340"/>
      <c r="AD44" s="2340"/>
      <c r="AE44" s="2340"/>
      <c r="AF44" s="2340"/>
      <c r="AG44" s="2340"/>
      <c r="AH44" s="2340"/>
      <c r="AI44" s="2340"/>
      <c r="AJ44" s="2340"/>
      <c r="AK44" s="2340"/>
      <c r="AL44" s="2340"/>
      <c r="AM44" s="2340"/>
      <c r="AN44" s="2340"/>
      <c r="AO44" s="2340"/>
      <c r="AP44" s="2340"/>
      <c r="AQ44" s="2340"/>
      <c r="AR44" s="2340"/>
      <c r="AS44" s="2340"/>
      <c r="AT44" s="2340"/>
      <c r="AU44" s="2340"/>
      <c r="AV44" s="2340"/>
      <c r="AW44" s="2340"/>
      <c r="AX44" s="2340"/>
      <c r="AY44" s="2340"/>
      <c r="AZ44" s="2340"/>
      <c r="BA44" s="2340"/>
      <c r="BB44" s="2340"/>
      <c r="BC44" s="2340"/>
      <c r="BD44" s="2340"/>
      <c r="BE44" s="2340"/>
      <c r="BF44" s="2340"/>
      <c r="BG44" s="2340"/>
      <c r="BH44" s="2340"/>
      <c r="BI44" s="2340"/>
      <c r="BJ44" s="2340"/>
      <c r="BK44" s="2340"/>
      <c r="BL44" s="2340"/>
      <c r="BM44" s="2340"/>
      <c r="BN44" s="2340"/>
      <c r="BO44" s="2340"/>
      <c r="BP44" s="2340"/>
      <c r="BQ44" s="2340"/>
      <c r="BR44" s="2340"/>
      <c r="BS44" s="2340"/>
      <c r="BT44" s="2340"/>
      <c r="BU44" s="2340"/>
      <c r="BV44" s="2340"/>
      <c r="BW44" s="2340"/>
      <c r="BX44" s="2340"/>
    </row>
    <row r="45" spans="1:76" s="204" customFormat="1" ht="13" customHeight="1" thickTop="1"/>
    <row r="46" spans="1:76" ht="13" customHeight="1">
      <c r="A46" s="404" t="s">
        <v>587</v>
      </c>
      <c r="C46" s="404" t="s">
        <v>282</v>
      </c>
    </row>
    <row r="47" spans="1:76" ht="13" customHeight="1">
      <c r="D47" s="404" t="s">
        <v>283</v>
      </c>
      <c r="AB47" s="2352">
        <f>'Sources and Uses Budget'!B105-MAX(IF('Sources and Uses Budget'!B15="",0,'Sources and Uses Budget'!B15),IF(Application!AG394="",0,Application!AG394))</f>
        <v>49406004</v>
      </c>
      <c r="AC47" s="2353"/>
      <c r="AD47" s="2353"/>
      <c r="AE47" s="2353"/>
      <c r="AF47" s="2354"/>
    </row>
    <row r="48" spans="1:76" ht="13" customHeight="1">
      <c r="D48" s="404" t="s">
        <v>21</v>
      </c>
      <c r="AB48" s="2352">
        <f>Application!AO639-MAX(IF('Sources and Uses Budget'!B15="",0,'Sources and Uses Budget'!B15),IF(Application!AG394="",0,Application!AG394))</f>
        <v>28311210</v>
      </c>
      <c r="AC48" s="2353"/>
      <c r="AD48" s="2353"/>
      <c r="AE48" s="2353"/>
      <c r="AF48" s="2354"/>
    </row>
    <row r="49" spans="1:76" ht="13" customHeight="1">
      <c r="D49" s="404" t="s">
        <v>91</v>
      </c>
      <c r="AB49" s="2352">
        <f>AB47-AB48</f>
        <v>21094794</v>
      </c>
      <c r="AC49" s="2353"/>
      <c r="AD49" s="2353"/>
      <c r="AE49" s="2353"/>
      <c r="AF49" s="2354"/>
    </row>
    <row r="50" spans="1:76" ht="13" customHeight="1">
      <c r="D50" s="404" t="s">
        <v>682</v>
      </c>
      <c r="AA50" s="415"/>
      <c r="AB50" s="2379">
        <v>0.87</v>
      </c>
      <c r="AC50" s="2380"/>
      <c r="AD50" s="2380"/>
      <c r="AE50" s="2380"/>
      <c r="AF50" s="2381"/>
    </row>
    <row r="51" spans="1:76" s="417" customFormat="1" ht="13" customHeight="1">
      <c r="A51" s="402"/>
      <c r="B51" s="402"/>
      <c r="C51" s="402"/>
      <c r="D51" s="402"/>
      <c r="E51" s="2382" t="s">
        <v>1851</v>
      </c>
      <c r="F51" s="2382"/>
      <c r="G51" s="2382"/>
      <c r="H51" s="2382"/>
      <c r="I51" s="2382"/>
      <c r="J51" s="2382"/>
      <c r="K51" s="2382"/>
      <c r="L51" s="2382"/>
      <c r="M51" s="2382"/>
      <c r="N51" s="2382"/>
      <c r="O51" s="2382"/>
      <c r="P51" s="2382"/>
      <c r="Q51" s="2382"/>
      <c r="R51" s="2382"/>
      <c r="S51" s="2382"/>
      <c r="T51" s="2382"/>
      <c r="U51" s="2382"/>
      <c r="V51" s="2382"/>
      <c r="W51" s="2382"/>
      <c r="X51" s="2382"/>
      <c r="Y51" s="2382"/>
      <c r="Z51" s="2382"/>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82"/>
      <c r="F52" s="2382"/>
      <c r="G52" s="2382"/>
      <c r="H52" s="2382"/>
      <c r="I52" s="2382"/>
      <c r="J52" s="2382"/>
      <c r="K52" s="2382"/>
      <c r="L52" s="2382"/>
      <c r="M52" s="2382"/>
      <c r="N52" s="2382"/>
      <c r="O52" s="2382"/>
      <c r="P52" s="2382"/>
      <c r="Q52" s="2382"/>
      <c r="R52" s="2382"/>
      <c r="S52" s="2382"/>
      <c r="T52" s="2382"/>
      <c r="U52" s="2382"/>
      <c r="V52" s="2382"/>
      <c r="W52" s="2382"/>
      <c r="X52" s="2382"/>
      <c r="Y52" s="2382"/>
      <c r="Z52" s="2382"/>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332</v>
      </c>
      <c r="AB54" s="2352">
        <f>ROUND(IF(ISERROR((AB49/AB50)),0,(AB49/AB50)),0)</f>
        <v>24246890</v>
      </c>
      <c r="AC54" s="2353"/>
      <c r="AD54" s="2353"/>
      <c r="AE54" s="2353"/>
      <c r="AF54" s="2354"/>
    </row>
    <row r="55" spans="1:76" ht="13" customHeight="1">
      <c r="D55" s="404" t="s">
        <v>333</v>
      </c>
      <c r="AB55" s="2352">
        <f>(AB54/10)</f>
        <v>2424689</v>
      </c>
      <c r="AC55" s="2353"/>
      <c r="AD55" s="2353"/>
      <c r="AE55" s="2353"/>
      <c r="AF55" s="2354"/>
    </row>
    <row r="56" spans="1:76" ht="13" customHeight="1">
      <c r="D56" s="404" t="s">
        <v>757</v>
      </c>
      <c r="AB56" s="2352">
        <f>ROUND((IF((Y41&lt;AB55),Y41,AB55)),0)</f>
        <v>2424689</v>
      </c>
      <c r="AC56" s="2353"/>
      <c r="AD56" s="2353"/>
      <c r="AE56" s="2353"/>
      <c r="AF56" s="2354"/>
    </row>
    <row r="57" spans="1:76" ht="13" customHeight="1">
      <c r="D57" s="404" t="s">
        <v>756</v>
      </c>
      <c r="AB57" s="2352">
        <f>ROUND((10*AB56*AB50),0)</f>
        <v>21094794</v>
      </c>
      <c r="AC57" s="2353"/>
      <c r="AD57" s="2353"/>
      <c r="AE57" s="2353"/>
      <c r="AF57" s="2354"/>
    </row>
    <row r="58" spans="1:76" ht="13" customHeight="1">
      <c r="D58" s="404"/>
      <c r="AB58" s="423"/>
      <c r="AC58" s="423"/>
      <c r="AD58" s="423"/>
      <c r="AE58" s="423"/>
      <c r="AF58" s="423"/>
    </row>
    <row r="59" spans="1:76" ht="13" customHeight="1">
      <c r="D59" s="404" t="s">
        <v>755</v>
      </c>
      <c r="AB59" s="2375">
        <f>AB49-AB57</f>
        <v>0</v>
      </c>
      <c r="AC59" s="2375"/>
      <c r="AD59" s="2375"/>
      <c r="AE59" s="2375"/>
      <c r="AF59" s="2375"/>
    </row>
    <row r="60" spans="1:76" ht="13" customHeight="1">
      <c r="D60" s="404"/>
      <c r="AB60" s="423"/>
      <c r="AC60" s="423"/>
      <c r="AD60" s="423"/>
      <c r="AE60" s="423"/>
      <c r="AF60" s="423"/>
    </row>
    <row r="61" spans="1:76" s="204" customFormat="1" ht="13" customHeight="1" thickBot="1">
      <c r="A61" s="2340" t="str">
        <f>IF(Application!AP205="yes","Farmworker State Credit", "State Credit" )</f>
        <v>State Credit</v>
      </c>
      <c r="B61" s="2340"/>
      <c r="C61" s="2340"/>
      <c r="D61" s="2340"/>
      <c r="E61" s="2340"/>
      <c r="F61" s="2340"/>
      <c r="G61" s="2340"/>
      <c r="H61" s="2340"/>
      <c r="I61" s="2340"/>
      <c r="J61" s="2340"/>
      <c r="K61" s="2340"/>
      <c r="L61" s="2340"/>
      <c r="M61" s="2340"/>
      <c r="N61" s="2340"/>
      <c r="O61" s="2340"/>
      <c r="P61" s="2340"/>
      <c r="Q61" s="2340"/>
      <c r="R61" s="2340"/>
      <c r="S61" s="2340"/>
      <c r="T61" s="2340"/>
      <c r="U61" s="2340"/>
      <c r="V61" s="2340"/>
      <c r="W61" s="2340"/>
      <c r="X61" s="2340"/>
      <c r="Y61" s="2340"/>
      <c r="Z61" s="2340"/>
      <c r="AA61" s="2340"/>
      <c r="AB61" s="2340"/>
      <c r="AC61" s="2340"/>
      <c r="AD61" s="2340"/>
      <c r="AE61" s="2340"/>
      <c r="AF61" s="2340"/>
      <c r="AG61" s="2340"/>
      <c r="AH61" s="2340"/>
      <c r="AI61" s="2340"/>
      <c r="AJ61" s="2340"/>
      <c r="AK61" s="2340"/>
      <c r="AL61" s="2340"/>
      <c r="AM61" s="2340"/>
      <c r="AN61" s="2340"/>
      <c r="AO61" s="2340"/>
      <c r="AP61" s="2340"/>
      <c r="AQ61" s="2340"/>
      <c r="AR61" s="2340"/>
      <c r="AS61" s="2340"/>
      <c r="AT61" s="2340"/>
      <c r="AU61" s="2340"/>
      <c r="AV61" s="2340"/>
      <c r="AW61" s="2340"/>
      <c r="AX61" s="2340"/>
      <c r="AY61" s="2340"/>
      <c r="AZ61" s="2340"/>
      <c r="BA61" s="2340"/>
      <c r="BB61" s="2340"/>
      <c r="BC61" s="2340"/>
      <c r="BD61" s="2340"/>
      <c r="BE61" s="2340"/>
      <c r="BF61" s="2340"/>
      <c r="BG61" s="2340"/>
      <c r="BH61" s="2340"/>
      <c r="BI61" s="2340"/>
      <c r="BJ61" s="2340"/>
      <c r="BK61" s="2340"/>
      <c r="BL61" s="2340"/>
      <c r="BM61" s="2340"/>
      <c r="BN61" s="2340"/>
      <c r="BO61" s="2340"/>
      <c r="BP61" s="2340"/>
      <c r="BQ61" s="2340"/>
      <c r="BR61" s="2340"/>
      <c r="BS61" s="2340"/>
      <c r="BT61" s="2340"/>
      <c r="BU61" s="2340"/>
      <c r="BV61" s="2340"/>
      <c r="BW61" s="2340"/>
      <c r="BX61" s="2340"/>
    </row>
    <row r="62" spans="1:76" s="204" customFormat="1" ht="13" customHeight="1" thickTop="1"/>
    <row r="63" spans="1:76" ht="13" customHeight="1">
      <c r="A63" s="404" t="s">
        <v>590</v>
      </c>
      <c r="C63" s="205" t="s">
        <v>1249</v>
      </c>
      <c r="Y63" s="2376" t="s">
        <v>985</v>
      </c>
      <c r="Z63" s="2376"/>
      <c r="AA63" s="2376"/>
      <c r="AB63" s="2376"/>
      <c r="AC63" s="2376"/>
      <c r="AD63" s="2376" t="s">
        <v>369</v>
      </c>
      <c r="AE63" s="2376"/>
      <c r="AF63" s="2376"/>
      <c r="AG63" s="2376"/>
      <c r="AH63" s="2376"/>
    </row>
    <row r="64" spans="1:76" ht="13"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7">
        <f>IF(Application!$Z$205="(select)",0,((T23*T27)+Y28))</f>
        <v>0</v>
      </c>
      <c r="Z64" s="2377"/>
      <c r="AA64" s="2377"/>
      <c r="AB64" s="2377"/>
      <c r="AC64" s="2378"/>
      <c r="AD64" s="2337">
        <f>IF(AND(OR(Application!D211="At-Risk",Application!D211="At-Risk and Special Needs"),Application!M358="yes"),AD28+AI28,0)</f>
        <v>0</v>
      </c>
      <c r="AE64" s="2377"/>
      <c r="AF64" s="2377"/>
      <c r="AG64" s="2377"/>
      <c r="AH64" s="2378"/>
    </row>
    <row r="65" spans="1:36" ht="13"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0" cm="1">
        <f t="array" ref="Y67">_xlfn.IFS(OR(Application!Z205="State Farmworker Credit",Application!Z205="$500M (Farmworker Housing)"),0.75,Application!Z205="15% set-aside",0.13,Application!Z205="15% set-aside with qualifying low value rehab",0.95,Application!Z205="$500M",0.3,TRUE,0)</f>
        <v>0</v>
      </c>
      <c r="Z67" s="2390"/>
      <c r="AA67" s="2390"/>
      <c r="AB67" s="2390"/>
      <c r="AC67" s="2390"/>
      <c r="AD67" s="2390" cm="1">
        <f t="array" ref="AD67">_xlfn.IFS(Application!Z205="15% set-aside with qualifying low value rehab", 0.95,OR(Application!D211="At-Risk",'Points System'!B13="Yes"),0.13,TRUE,0)</f>
        <v>0</v>
      </c>
      <c r="AE67" s="2390"/>
      <c r="AF67" s="2390"/>
      <c r="AG67" s="2390"/>
      <c r="AH67" s="2390"/>
    </row>
    <row r="68" spans="1:36" ht="13" customHeight="1">
      <c r="C68" s="404"/>
      <c r="D68" s="205" t="s">
        <v>2227</v>
      </c>
      <c r="Y68" s="2336">
        <f>ROUND(Y64*Y67,0)</f>
        <v>0</v>
      </c>
      <c r="Z68" s="2391"/>
      <c r="AA68" s="2391"/>
      <c r="AB68" s="2391"/>
      <c r="AC68" s="2391"/>
      <c r="AD68" s="2336">
        <f>ROUND(AD64*AD67,0)</f>
        <v>0</v>
      </c>
      <c r="AE68" s="2391"/>
      <c r="AF68" s="2391"/>
      <c r="AG68" s="2391"/>
      <c r="AH68" s="2391"/>
    </row>
    <row r="69" spans="1:36" ht="13" customHeight="1">
      <c r="C69" s="404"/>
      <c r="D69" s="205" t="s">
        <v>2228</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3" customHeight="1">
      <c r="C70" s="404"/>
      <c r="E70" s="404"/>
      <c r="AB70" s="422"/>
      <c r="AC70" s="422"/>
      <c r="AD70" s="422"/>
      <c r="AE70" s="422"/>
      <c r="AF70" s="422"/>
    </row>
    <row r="71" spans="1:36" ht="13" customHeight="1">
      <c r="A71" s="404" t="s">
        <v>591</v>
      </c>
      <c r="C71" s="205" t="s">
        <v>284</v>
      </c>
    </row>
    <row r="72" spans="1:36" ht="13" customHeight="1">
      <c r="A72" s="404"/>
      <c r="C72" s="404"/>
      <c r="D72" s="205" t="s">
        <v>1251</v>
      </c>
      <c r="AB72" s="2379"/>
      <c r="AC72" s="2380"/>
      <c r="AD72" s="2380"/>
      <c r="AE72" s="2380"/>
      <c r="AF72" s="2381"/>
    </row>
    <row r="73" spans="1:36" ht="13" customHeight="1">
      <c r="A73" s="404"/>
      <c r="C73" s="404"/>
      <c r="D73" s="404"/>
      <c r="E73" s="2392" t="s">
        <v>1252</v>
      </c>
      <c r="F73" s="2392"/>
      <c r="G73" s="2392"/>
      <c r="H73" s="2392"/>
      <c r="I73" s="2392"/>
      <c r="J73" s="2392"/>
      <c r="K73" s="2392"/>
      <c r="L73" s="2392"/>
      <c r="M73" s="2392"/>
      <c r="N73" s="2392"/>
      <c r="O73" s="2392"/>
      <c r="P73" s="2392"/>
      <c r="Q73" s="2392"/>
      <c r="R73" s="2392"/>
      <c r="S73" s="2392"/>
      <c r="T73" s="2392"/>
      <c r="U73" s="2392"/>
      <c r="V73" s="2392"/>
      <c r="W73" s="2392"/>
      <c r="X73" s="2392"/>
      <c r="Y73" s="2392"/>
      <c r="Z73" s="2392"/>
      <c r="AA73" s="2392"/>
      <c r="AB73" s="438"/>
      <c r="AC73" s="438"/>
    </row>
    <row r="74" spans="1:36" ht="13" customHeight="1">
      <c r="A74" s="404"/>
      <c r="C74" s="404"/>
      <c r="D74" s="404"/>
      <c r="E74" s="2392"/>
      <c r="F74" s="2392"/>
      <c r="G74" s="2392"/>
      <c r="H74" s="2392"/>
      <c r="I74" s="2392"/>
      <c r="J74" s="2392"/>
      <c r="K74" s="2392"/>
      <c r="L74" s="2392"/>
      <c r="M74" s="2392"/>
      <c r="N74" s="2392"/>
      <c r="O74" s="2392"/>
      <c r="P74" s="2392"/>
      <c r="Q74" s="2392"/>
      <c r="R74" s="2392"/>
      <c r="S74" s="2392"/>
      <c r="T74" s="2392"/>
      <c r="U74" s="2392"/>
      <c r="V74" s="2392"/>
      <c r="W74" s="2392"/>
      <c r="X74" s="2392"/>
      <c r="Y74" s="2392"/>
      <c r="Z74" s="2392"/>
      <c r="AA74" s="2392"/>
      <c r="AB74" s="438"/>
      <c r="AC74" s="438"/>
    </row>
    <row r="75" spans="1:36" ht="13" customHeight="1">
      <c r="A75" s="404"/>
      <c r="C75" s="404"/>
      <c r="D75" s="404"/>
      <c r="E75" s="2392"/>
      <c r="F75" s="2392"/>
      <c r="G75" s="2392"/>
      <c r="H75" s="2392"/>
      <c r="I75" s="2392"/>
      <c r="J75" s="2392"/>
      <c r="K75" s="2392"/>
      <c r="L75" s="2392"/>
      <c r="M75" s="2392"/>
      <c r="N75" s="2392"/>
      <c r="O75" s="2392"/>
      <c r="P75" s="2392"/>
      <c r="Q75" s="2392"/>
      <c r="R75" s="2392"/>
      <c r="S75" s="2392"/>
      <c r="T75" s="2392"/>
      <c r="U75" s="2392"/>
      <c r="V75" s="2392"/>
      <c r="W75" s="2392"/>
      <c r="X75" s="2392"/>
      <c r="Y75" s="2392"/>
      <c r="Z75" s="2392"/>
      <c r="AA75" s="2392"/>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1253</v>
      </c>
      <c r="AB77" s="2385">
        <f>ROUND(IF(ISERROR((AB59/AB72)),0,(AB59/AB72)),0)</f>
        <v>0</v>
      </c>
      <c r="AC77" s="2385"/>
      <c r="AD77" s="2385"/>
      <c r="AE77" s="2385"/>
      <c r="AF77" s="2385"/>
    </row>
    <row r="78" spans="1:36" ht="13" customHeight="1">
      <c r="C78" s="404"/>
      <c r="D78" s="205" t="s">
        <v>1254</v>
      </c>
      <c r="AB78" s="2386">
        <f>ROUNDUP(MIN(Y69,AB77),0)</f>
        <v>0</v>
      </c>
      <c r="AC78" s="2387"/>
      <c r="AD78" s="2387"/>
      <c r="AE78" s="2387"/>
      <c r="AF78" s="2388"/>
    </row>
    <row r="79" spans="1:36" ht="13" customHeight="1">
      <c r="C79" s="404"/>
      <c r="D79" s="205" t="s">
        <v>1255</v>
      </c>
      <c r="AB79" s="2389">
        <f>AB78*AB72</f>
        <v>0</v>
      </c>
      <c r="AC79" s="2389"/>
      <c r="AD79" s="2389"/>
      <c r="AE79" s="2389"/>
      <c r="AF79" s="2389"/>
    </row>
    <row r="80" spans="1:36" ht="13" customHeight="1">
      <c r="C80" s="404"/>
      <c r="D80" s="404"/>
      <c r="AB80" s="425"/>
      <c r="AC80" s="425"/>
      <c r="AD80" s="425"/>
      <c r="AE80" s="425"/>
      <c r="AF80" s="425"/>
    </row>
    <row r="81" spans="1:78" ht="13" customHeight="1">
      <c r="D81" s="404" t="s">
        <v>755</v>
      </c>
      <c r="AB81" s="2375">
        <f>AB49-(AB57+AB79)</f>
        <v>0</v>
      </c>
      <c r="AC81" s="2375"/>
      <c r="AD81" s="2375"/>
      <c r="AE81" s="2375"/>
      <c r="AF81" s="2375"/>
    </row>
    <row r="82" spans="1:78" ht="13" customHeight="1">
      <c r="F82" s="522"/>
      <c r="J82" s="522" t="str">
        <f>IF(AB81&gt;0,"FUNDING GAP MUST NOT EXCEED ZERO","")</f>
        <v/>
      </c>
    </row>
    <row r="83" spans="1:78" ht="13" customHeight="1">
      <c r="D83" s="523"/>
    </row>
    <row r="84" spans="1:78" ht="13" customHeight="1" thickBot="1">
      <c r="A84" s="2340"/>
      <c r="B84" s="2340"/>
      <c r="C84" s="2340"/>
      <c r="D84" s="2340"/>
      <c r="E84" s="2340"/>
      <c r="F84" s="2340"/>
      <c r="G84" s="2340"/>
      <c r="H84" s="2340"/>
      <c r="I84" s="2340"/>
      <c r="J84" s="2340"/>
      <c r="K84" s="2340"/>
      <c r="L84" s="2340"/>
      <c r="M84" s="2340"/>
      <c r="N84" s="2340"/>
      <c r="O84" s="2340"/>
      <c r="P84" s="2340"/>
      <c r="Q84" s="2340"/>
      <c r="R84" s="2340"/>
      <c r="S84" s="2340"/>
      <c r="T84" s="2340"/>
      <c r="U84" s="2340"/>
      <c r="V84" s="2340"/>
      <c r="W84" s="2340"/>
      <c r="X84" s="2340"/>
      <c r="Y84" s="2340"/>
      <c r="Z84" s="2340"/>
      <c r="AA84" s="2340"/>
      <c r="AB84" s="2340"/>
      <c r="AC84" s="2340"/>
      <c r="AD84" s="2340"/>
      <c r="AE84" s="2340"/>
      <c r="AF84" s="2340"/>
      <c r="AG84" s="2340"/>
      <c r="AH84" s="2340"/>
      <c r="AI84" s="2340"/>
      <c r="AJ84" s="2340"/>
      <c r="AK84" s="2340"/>
      <c r="AL84" s="2340"/>
      <c r="AM84" s="2340"/>
      <c r="AN84" s="2340"/>
      <c r="AO84" s="2340"/>
      <c r="AP84" s="2340"/>
      <c r="AQ84" s="2340"/>
      <c r="AR84" s="2340"/>
      <c r="AS84" s="2340"/>
      <c r="AT84" s="2340"/>
      <c r="AU84" s="2340"/>
      <c r="AV84" s="2340"/>
      <c r="AW84" s="2340"/>
      <c r="AX84" s="2340"/>
      <c r="AY84" s="2340"/>
      <c r="AZ84" s="2340"/>
      <c r="BA84" s="2340"/>
      <c r="BB84" s="2340"/>
      <c r="BC84" s="2340"/>
      <c r="BD84" s="2340"/>
      <c r="BE84" s="2340"/>
      <c r="BF84" s="2340"/>
      <c r="BG84" s="2340"/>
      <c r="BH84" s="2340"/>
      <c r="BI84" s="2340"/>
      <c r="BJ84" s="2340"/>
      <c r="BK84" s="2340"/>
      <c r="BL84" s="2340"/>
      <c r="BM84" s="2340"/>
      <c r="BN84" s="2340"/>
      <c r="BO84" s="2340"/>
      <c r="BP84" s="2340"/>
      <c r="BQ84" s="2340"/>
      <c r="BR84" s="2340"/>
      <c r="BS84" s="2340"/>
      <c r="BT84" s="2340"/>
      <c r="BU84" s="2340"/>
      <c r="BV84" s="2340"/>
      <c r="BW84" s="2340"/>
      <c r="BX84" s="2340"/>
    </row>
    <row r="85" spans="1:78" ht="13" customHeight="1" thickTop="1"/>
    <row r="86" spans="1:78" ht="13" customHeight="1">
      <c r="A86" s="404"/>
      <c r="C86" s="205"/>
    </row>
    <row r="87" spans="1:78" ht="13" customHeight="1">
      <c r="D87" s="205"/>
      <c r="AB87" s="2341"/>
      <c r="AC87" s="2341"/>
      <c r="AD87" s="2341"/>
      <c r="AE87" s="2341"/>
      <c r="AF87" s="2341"/>
    </row>
    <row r="88" spans="1:78" ht="13" customHeight="1" thickBot="1">
      <c r="D88" s="205"/>
      <c r="AB88" s="2339"/>
      <c r="AC88" s="2339"/>
      <c r="AD88" s="2339"/>
      <c r="AE88" s="2339"/>
      <c r="AF88" s="233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zoomScale="85" zoomScaleNormal="85" workbookViewId="0">
      <selection activeCell="AK27" sqref="AK27"/>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623" t="s">
        <v>1301</v>
      </c>
      <c r="B1" s="2623"/>
      <c r="C1" s="2623"/>
      <c r="D1" s="2623"/>
      <c r="E1" s="2623"/>
      <c r="F1" s="2623"/>
      <c r="G1" s="2623"/>
      <c r="H1" s="2623"/>
      <c r="I1" s="2623"/>
      <c r="J1" s="2623"/>
      <c r="K1" s="2623"/>
      <c r="L1" s="2623"/>
      <c r="M1" s="2623"/>
      <c r="N1" s="2623"/>
      <c r="O1" s="2623"/>
      <c r="P1" s="2623"/>
      <c r="Q1" s="2623"/>
      <c r="R1" s="2623"/>
      <c r="S1" s="2623"/>
      <c r="T1" s="2623"/>
      <c r="U1" s="2623"/>
      <c r="V1" s="2623"/>
      <c r="W1" s="2623"/>
      <c r="X1" s="2623"/>
      <c r="Y1" s="2623"/>
      <c r="Z1" s="2623"/>
      <c r="AA1" s="2623"/>
      <c r="AB1" s="2623"/>
      <c r="AC1" s="2623"/>
      <c r="AD1" s="2623"/>
      <c r="AE1" s="2623"/>
      <c r="AF1" s="2623"/>
      <c r="AG1" s="2623"/>
      <c r="AH1" s="2623"/>
      <c r="AI1" s="2623"/>
      <c r="AJ1" s="2623"/>
      <c r="AK1" s="2623"/>
      <c r="AL1" s="2623"/>
      <c r="AM1" s="2623"/>
    </row>
    <row r="2" spans="1:42" s="536" customFormat="1" ht="12.75" customHeight="1" thickBot="1">
      <c r="A2" s="2624"/>
      <c r="B2" s="2624"/>
      <c r="C2" s="2624"/>
      <c r="D2" s="2624"/>
      <c r="E2" s="2624"/>
      <c r="F2" s="2624"/>
      <c r="G2" s="2624"/>
      <c r="H2" s="2624"/>
      <c r="I2" s="2624"/>
      <c r="J2" s="2624"/>
      <c r="K2" s="2624"/>
      <c r="L2" s="2624"/>
      <c r="M2" s="2624"/>
      <c r="N2" s="2624"/>
      <c r="O2" s="2624"/>
      <c r="P2" s="2624"/>
      <c r="Q2" s="2624"/>
      <c r="R2" s="2624"/>
      <c r="S2" s="2624"/>
      <c r="T2" s="2624"/>
      <c r="U2" s="2624"/>
      <c r="V2" s="2624"/>
      <c r="W2" s="2624"/>
      <c r="X2" s="2624"/>
      <c r="Y2" s="2624"/>
      <c r="Z2" s="2624"/>
      <c r="AA2" s="2624"/>
      <c r="AB2" s="2624"/>
      <c r="AC2" s="2624"/>
      <c r="AD2" s="2624"/>
      <c r="AE2" s="2624"/>
      <c r="AF2" s="2624"/>
      <c r="AG2" s="2624"/>
      <c r="AH2" s="2624"/>
      <c r="AI2" s="2624"/>
      <c r="AJ2" s="2624"/>
      <c r="AK2" s="2624"/>
      <c r="AL2" s="2624"/>
      <c r="AM2" s="26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4" t="s">
        <v>1306</v>
      </c>
      <c r="AF7" s="2464"/>
      <c r="AG7" s="2464"/>
      <c r="AH7" s="2464"/>
      <c r="AI7" s="2464"/>
      <c r="AJ7" s="2464"/>
      <c r="AK7" s="2464"/>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7" t="s">
        <v>592</v>
      </c>
      <c r="C13" s="2617"/>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5"/>
      <c r="AH13" s="2625"/>
      <c r="AI13" s="2625"/>
      <c r="AJ13" s="26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7" t="s">
        <v>592</v>
      </c>
      <c r="C16" s="2617"/>
      <c r="D16" s="547"/>
      <c r="E16" s="2609" t="s">
        <v>1308</v>
      </c>
      <c r="F16" s="2610"/>
      <c r="G16" s="2610"/>
      <c r="H16" s="2610"/>
      <c r="I16" s="2610"/>
      <c r="J16" s="2610"/>
      <c r="K16" s="2610"/>
      <c r="L16" s="2610"/>
      <c r="M16" s="2610"/>
      <c r="N16" s="2610"/>
      <c r="O16" s="2610"/>
      <c r="P16" s="2610"/>
      <c r="Q16" s="2610"/>
      <c r="R16" s="2610"/>
      <c r="S16" s="2610"/>
      <c r="T16" s="2610"/>
      <c r="U16" s="2610"/>
      <c r="V16" s="2610"/>
      <c r="W16" s="2610"/>
      <c r="X16" s="2610"/>
      <c r="Y16" s="2610"/>
      <c r="Z16" s="2610"/>
      <c r="AA16" s="2610"/>
      <c r="AB16" s="2610"/>
      <c r="AC16" s="2610"/>
      <c r="AD16" s="2610"/>
      <c r="AE16" s="2610"/>
      <c r="AF16" s="2610"/>
      <c r="AG16" s="2610"/>
      <c r="AH16" s="2610"/>
      <c r="AI16" s="2610"/>
      <c r="AJ16" s="2611"/>
      <c r="AK16" s="540"/>
      <c r="AL16" s="540"/>
      <c r="AM16" s="540"/>
      <c r="AN16" s="535"/>
      <c r="AO16" s="550">
        <f>IF($B25="yes",20,0)</f>
        <v>0</v>
      </c>
      <c r="AP16" s="14"/>
    </row>
    <row r="17" spans="1:42" s="536" customFormat="1" ht="12.75" customHeight="1">
      <c r="A17" s="540"/>
      <c r="B17" s="540"/>
      <c r="C17" s="540"/>
      <c r="D17" s="551"/>
      <c r="E17" s="2612"/>
      <c r="F17" s="2613"/>
      <c r="G17" s="2613"/>
      <c r="H17" s="2613"/>
      <c r="I17" s="2613"/>
      <c r="J17" s="2613"/>
      <c r="K17" s="2613"/>
      <c r="L17" s="2613"/>
      <c r="M17" s="2613"/>
      <c r="N17" s="2613"/>
      <c r="O17" s="2613"/>
      <c r="P17" s="2613"/>
      <c r="Q17" s="2613"/>
      <c r="R17" s="2613"/>
      <c r="S17" s="2613"/>
      <c r="T17" s="2613"/>
      <c r="U17" s="2613"/>
      <c r="V17" s="2613"/>
      <c r="W17" s="2613"/>
      <c r="X17" s="2613"/>
      <c r="Y17" s="2613"/>
      <c r="Z17" s="2613"/>
      <c r="AA17" s="2613"/>
      <c r="AB17" s="2613"/>
      <c r="AC17" s="2613"/>
      <c r="AD17" s="2613"/>
      <c r="AE17" s="2613"/>
      <c r="AF17" s="2613"/>
      <c r="AG17" s="2613"/>
      <c r="AH17" s="2613"/>
      <c r="AI17" s="2613"/>
      <c r="AJ17" s="2614"/>
      <c r="AK17" s="540"/>
      <c r="AL17" s="540"/>
      <c r="AM17" s="540"/>
      <c r="AN17" s="535"/>
      <c r="AO17" s="550">
        <f>IF($B28="yes",20,0)</f>
        <v>0</v>
      </c>
    </row>
    <row r="18" spans="1:42" s="536" customFormat="1" ht="12.75" customHeight="1">
      <c r="A18" s="540"/>
      <c r="B18" s="540"/>
      <c r="C18" s="540"/>
      <c r="D18" s="551"/>
      <c r="E18" s="2612"/>
      <c r="F18" s="2613"/>
      <c r="G18" s="2613"/>
      <c r="H18" s="2613"/>
      <c r="I18" s="2613"/>
      <c r="J18" s="2613"/>
      <c r="K18" s="2613"/>
      <c r="L18" s="2613"/>
      <c r="M18" s="2613"/>
      <c r="N18" s="2613"/>
      <c r="O18" s="2613"/>
      <c r="P18" s="2613"/>
      <c r="Q18" s="2613"/>
      <c r="R18" s="2613"/>
      <c r="S18" s="2613"/>
      <c r="T18" s="2613"/>
      <c r="U18" s="2613"/>
      <c r="V18" s="2613"/>
      <c r="W18" s="2613"/>
      <c r="X18" s="2613"/>
      <c r="Y18" s="2613"/>
      <c r="Z18" s="2613"/>
      <c r="AA18" s="2613"/>
      <c r="AB18" s="2613"/>
      <c r="AC18" s="2613"/>
      <c r="AD18" s="2613"/>
      <c r="AE18" s="2613"/>
      <c r="AF18" s="2613"/>
      <c r="AG18" s="2613"/>
      <c r="AH18" s="2613"/>
      <c r="AI18" s="2613"/>
      <c r="AJ18" s="2614"/>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3"/>
      <c r="F20" s="2634"/>
      <c r="G20" s="2634"/>
      <c r="H20" s="2634"/>
      <c r="I20" s="2634"/>
      <c r="J20" s="2634"/>
      <c r="K20" s="2634"/>
      <c r="L20" s="2634"/>
      <c r="M20" s="2634"/>
      <c r="N20" s="2634"/>
      <c r="O20" s="2634"/>
      <c r="P20" s="2634"/>
      <c r="Q20" s="2634"/>
      <c r="R20" s="2634"/>
      <c r="S20" s="2634"/>
      <c r="T20" s="2634"/>
      <c r="U20" s="2634"/>
      <c r="V20" s="2634"/>
      <c r="W20" s="2634"/>
      <c r="X20" s="2634"/>
      <c r="Y20" s="2634"/>
      <c r="Z20" s="2634"/>
      <c r="AA20" s="2634"/>
      <c r="AB20" s="2634"/>
      <c r="AC20" s="2634"/>
      <c r="AD20" s="2634"/>
      <c r="AE20" s="2634"/>
      <c r="AF20" s="2634"/>
      <c r="AG20" s="2634"/>
      <c r="AH20" s="2634"/>
      <c r="AI20" s="2634"/>
      <c r="AJ20" s="263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7" t="s">
        <v>592</v>
      </c>
      <c r="C22" s="2617"/>
      <c r="D22" s="547"/>
      <c r="E22" s="2627" t="s">
        <v>1311</v>
      </c>
      <c r="F22" s="2628"/>
      <c r="G22" s="2628"/>
      <c r="H22" s="2628"/>
      <c r="I22" s="2628"/>
      <c r="J22" s="2628"/>
      <c r="K22" s="2628"/>
      <c r="L22" s="2628"/>
      <c r="M22" s="2628"/>
      <c r="N22" s="2628"/>
      <c r="O22" s="2628"/>
      <c r="P22" s="2628"/>
      <c r="Q22" s="2628"/>
      <c r="R22" s="2628"/>
      <c r="S22" s="2628"/>
      <c r="T22" s="2628"/>
      <c r="U22" s="2628"/>
      <c r="V22" s="2628"/>
      <c r="W22" s="2628"/>
      <c r="X22" s="2628"/>
      <c r="Y22" s="2628"/>
      <c r="Z22" s="2628"/>
      <c r="AA22" s="2628"/>
      <c r="AB22" s="2628"/>
      <c r="AC22" s="2628"/>
      <c r="AD22" s="2628"/>
      <c r="AE22" s="2628"/>
      <c r="AF22" s="2628"/>
      <c r="AG22" s="2628"/>
      <c r="AH22" s="2628"/>
      <c r="AI22" s="2628"/>
      <c r="AJ22" s="2629"/>
      <c r="AK22" s="540"/>
      <c r="AL22" s="540"/>
      <c r="AM22" s="540"/>
      <c r="AN22" s="535"/>
      <c r="AO22" s="550">
        <f>IF($B40="yes",14,0)</f>
        <v>0</v>
      </c>
    </row>
    <row r="23" spans="1:42" s="536" customFormat="1" ht="12.75" customHeight="1">
      <c r="A23" s="540"/>
      <c r="B23" s="540"/>
      <c r="C23" s="540"/>
      <c r="D23" s="550"/>
      <c r="E23" s="2630"/>
      <c r="F23" s="2631"/>
      <c r="G23" s="2631"/>
      <c r="H23" s="2631"/>
      <c r="I23" s="2631"/>
      <c r="J23" s="2631"/>
      <c r="K23" s="2631"/>
      <c r="L23" s="2631"/>
      <c r="M23" s="2631"/>
      <c r="N23" s="2631"/>
      <c r="O23" s="2631"/>
      <c r="P23" s="2631"/>
      <c r="Q23" s="2631"/>
      <c r="R23" s="2631"/>
      <c r="S23" s="2631"/>
      <c r="T23" s="2631"/>
      <c r="U23" s="2631"/>
      <c r="V23" s="2631"/>
      <c r="W23" s="2631"/>
      <c r="X23" s="2631"/>
      <c r="Y23" s="2631"/>
      <c r="Z23" s="2631"/>
      <c r="AA23" s="2631"/>
      <c r="AB23" s="2631"/>
      <c r="AC23" s="2631"/>
      <c r="AD23" s="2631"/>
      <c r="AE23" s="2631"/>
      <c r="AF23" s="2631"/>
      <c r="AG23" s="2631"/>
      <c r="AH23" s="2631"/>
      <c r="AI23" s="2631"/>
      <c r="AJ23" s="2632"/>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7" t="s">
        <v>592</v>
      </c>
      <c r="C25" s="2617"/>
      <c r="D25" s="547"/>
      <c r="E25" s="2544" t="s">
        <v>2035</v>
      </c>
      <c r="F25" s="2545"/>
      <c r="G25" s="2545"/>
      <c r="H25" s="2545"/>
      <c r="I25" s="2545"/>
      <c r="J25" s="2545"/>
      <c r="K25" s="2545"/>
      <c r="L25" s="2545"/>
      <c r="M25" s="2545"/>
      <c r="N25" s="2545"/>
      <c r="O25" s="2545"/>
      <c r="P25" s="2545"/>
      <c r="Q25" s="2545"/>
      <c r="R25" s="2545"/>
      <c r="S25" s="2545"/>
      <c r="T25" s="2545"/>
      <c r="U25" s="2545"/>
      <c r="V25" s="2545"/>
      <c r="W25" s="2545"/>
      <c r="X25" s="2545"/>
      <c r="Y25" s="2545"/>
      <c r="Z25" s="2545"/>
      <c r="AA25" s="2545"/>
      <c r="AB25" s="2545"/>
      <c r="AC25" s="2545"/>
      <c r="AD25" s="2545"/>
      <c r="AE25" s="2545"/>
      <c r="AF25" s="2545"/>
      <c r="AG25" s="2545"/>
      <c r="AH25" s="2545"/>
      <c r="AI25" s="2545"/>
      <c r="AJ25" s="2546"/>
      <c r="AK25" s="540"/>
      <c r="AL25" s="540"/>
      <c r="AM25" s="540"/>
      <c r="AN25" s="535"/>
      <c r="AO25" s="550">
        <f>IF($B45="yes",6,0)</f>
        <v>0</v>
      </c>
    </row>
    <row r="26" spans="1:42" s="536" customFormat="1" ht="12.75" customHeight="1">
      <c r="A26" s="540"/>
      <c r="B26" s="540"/>
      <c r="C26" s="540"/>
      <c r="D26" s="550"/>
      <c r="E26" s="2569"/>
      <c r="F26" s="2570"/>
      <c r="G26" s="2570"/>
      <c r="H26" s="2570"/>
      <c r="I26" s="2570"/>
      <c r="J26" s="2570"/>
      <c r="K26" s="2570"/>
      <c r="L26" s="2570"/>
      <c r="M26" s="2570"/>
      <c r="N26" s="2570"/>
      <c r="O26" s="2570"/>
      <c r="P26" s="2570"/>
      <c r="Q26" s="2570"/>
      <c r="R26" s="2570"/>
      <c r="S26" s="2570"/>
      <c r="T26" s="2570"/>
      <c r="U26" s="2570"/>
      <c r="V26" s="2570"/>
      <c r="W26" s="2570"/>
      <c r="X26" s="2570"/>
      <c r="Y26" s="2570"/>
      <c r="Z26" s="2570"/>
      <c r="AA26" s="2570"/>
      <c r="AB26" s="2570"/>
      <c r="AC26" s="2570"/>
      <c r="AD26" s="2570"/>
      <c r="AE26" s="2570"/>
      <c r="AF26" s="2570"/>
      <c r="AG26" s="2570"/>
      <c r="AH26" s="2570"/>
      <c r="AI26" s="2570"/>
      <c r="AJ26" s="2571"/>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7" t="s">
        <v>592</v>
      </c>
      <c r="C28" s="2617"/>
      <c r="D28" s="547"/>
      <c r="E28" s="2646" t="s">
        <v>2251</v>
      </c>
      <c r="F28" s="2647"/>
      <c r="G28" s="2647"/>
      <c r="H28" s="2647"/>
      <c r="I28" s="2647"/>
      <c r="J28" s="2647"/>
      <c r="K28" s="2647"/>
      <c r="L28" s="2647"/>
      <c r="M28" s="2647"/>
      <c r="N28" s="2647"/>
      <c r="O28" s="2647"/>
      <c r="P28" s="2647"/>
      <c r="Q28" s="2647"/>
      <c r="R28" s="2647"/>
      <c r="S28" s="2647"/>
      <c r="T28" s="2647"/>
      <c r="U28" s="2647"/>
      <c r="V28" s="2647"/>
      <c r="W28" s="2647"/>
      <c r="X28" s="2647"/>
      <c r="Y28" s="2647"/>
      <c r="Z28" s="2647"/>
      <c r="AA28" s="2647"/>
      <c r="AB28" s="2647"/>
      <c r="AC28" s="2647"/>
      <c r="AD28" s="2647"/>
      <c r="AE28" s="2647"/>
      <c r="AF28" s="2647"/>
      <c r="AG28" s="2647"/>
      <c r="AH28" s="2647"/>
      <c r="AI28" s="2647"/>
      <c r="AJ28" s="264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17" t="s">
        <v>592</v>
      </c>
      <c r="C33" s="2617"/>
      <c r="D33" s="547"/>
      <c r="E33" s="2627" t="s">
        <v>2253</v>
      </c>
      <c r="F33" s="2628"/>
      <c r="G33" s="2628"/>
      <c r="H33" s="2628"/>
      <c r="I33" s="2628"/>
      <c r="J33" s="2628"/>
      <c r="K33" s="2628"/>
      <c r="L33" s="2628"/>
      <c r="M33" s="2628"/>
      <c r="N33" s="2628"/>
      <c r="O33" s="2628"/>
      <c r="P33" s="2628"/>
      <c r="Q33" s="2628"/>
      <c r="R33" s="2628"/>
      <c r="S33" s="2628"/>
      <c r="T33" s="2628"/>
      <c r="U33" s="2628"/>
      <c r="V33" s="2628"/>
      <c r="W33" s="2628"/>
      <c r="X33" s="2628"/>
      <c r="Y33" s="2628"/>
      <c r="Z33" s="2628"/>
      <c r="AA33" s="2628"/>
      <c r="AB33" s="2628"/>
      <c r="AC33" s="2628"/>
      <c r="AD33" s="2628"/>
      <c r="AE33" s="2628"/>
      <c r="AF33" s="2628"/>
      <c r="AG33" s="2628"/>
      <c r="AH33" s="2628"/>
      <c r="AI33" s="2628"/>
      <c r="AJ33" s="2629"/>
      <c r="AK33" s="540"/>
      <c r="AL33" s="540"/>
      <c r="AM33" s="540"/>
      <c r="AN33" s="535"/>
      <c r="AO33" s="550"/>
    </row>
    <row r="34" spans="1:41" s="536" customFormat="1" ht="12.75" customHeight="1">
      <c r="A34" s="540"/>
      <c r="B34" s="540"/>
      <c r="C34" s="540"/>
      <c r="E34" s="2630"/>
      <c r="F34" s="2631"/>
      <c r="G34" s="2631"/>
      <c r="H34" s="2631"/>
      <c r="I34" s="2631"/>
      <c r="J34" s="2631"/>
      <c r="K34" s="2631"/>
      <c r="L34" s="2631"/>
      <c r="M34" s="2631"/>
      <c r="N34" s="2631"/>
      <c r="O34" s="2631"/>
      <c r="P34" s="2631"/>
      <c r="Q34" s="2631"/>
      <c r="R34" s="2631"/>
      <c r="S34" s="2631"/>
      <c r="T34" s="2631"/>
      <c r="U34" s="2631"/>
      <c r="V34" s="2631"/>
      <c r="W34" s="2631"/>
      <c r="X34" s="2631"/>
      <c r="Y34" s="2631"/>
      <c r="Z34" s="2631"/>
      <c r="AA34" s="2631"/>
      <c r="AB34" s="2631"/>
      <c r="AC34" s="2631"/>
      <c r="AD34" s="2631"/>
      <c r="AE34" s="2631"/>
      <c r="AF34" s="2631"/>
      <c r="AG34" s="2631"/>
      <c r="AH34" s="2631"/>
      <c r="AI34" s="2631"/>
      <c r="AJ34" s="263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7" t="s">
        <v>592</v>
      </c>
      <c r="C36" s="2617"/>
      <c r="D36" s="547"/>
      <c r="E36" s="2544" t="s">
        <v>2254</v>
      </c>
      <c r="F36" s="2545"/>
      <c r="G36" s="2545"/>
      <c r="H36" s="2545"/>
      <c r="I36" s="2545"/>
      <c r="J36" s="2545"/>
      <c r="K36" s="2545"/>
      <c r="L36" s="2545"/>
      <c r="M36" s="2545"/>
      <c r="N36" s="2545"/>
      <c r="O36" s="2545"/>
      <c r="P36" s="2545"/>
      <c r="Q36" s="2545"/>
      <c r="R36" s="2545"/>
      <c r="S36" s="2545"/>
      <c r="T36" s="2545"/>
      <c r="U36" s="2545"/>
      <c r="V36" s="2545"/>
      <c r="W36" s="2545"/>
      <c r="X36" s="2545"/>
      <c r="Y36" s="2545"/>
      <c r="Z36" s="2545"/>
      <c r="AA36" s="2545"/>
      <c r="AB36" s="2545"/>
      <c r="AC36" s="2545"/>
      <c r="AD36" s="2545"/>
      <c r="AE36" s="2545"/>
      <c r="AF36" s="2545"/>
      <c r="AG36" s="2545"/>
      <c r="AH36" s="2545"/>
      <c r="AI36" s="2545"/>
      <c r="AJ36" s="2546"/>
      <c r="AK36" s="540"/>
      <c r="AL36" s="540"/>
      <c r="AM36" s="540"/>
      <c r="AN36" s="535"/>
    </row>
    <row r="37" spans="1:41" s="536" customFormat="1" ht="12.75" customHeight="1">
      <c r="A37" s="540"/>
      <c r="B37" s="540"/>
      <c r="C37" s="540"/>
      <c r="E37" s="2547"/>
      <c r="F37" s="2548"/>
      <c r="G37" s="2548"/>
      <c r="H37" s="2548"/>
      <c r="I37" s="2548"/>
      <c r="J37" s="2548"/>
      <c r="K37" s="2548"/>
      <c r="L37" s="2548"/>
      <c r="M37" s="2548"/>
      <c r="N37" s="2548"/>
      <c r="O37" s="2548"/>
      <c r="P37" s="2548"/>
      <c r="Q37" s="2548"/>
      <c r="R37" s="2548"/>
      <c r="S37" s="2548"/>
      <c r="T37" s="2548"/>
      <c r="U37" s="2548"/>
      <c r="V37" s="2548"/>
      <c r="W37" s="2548"/>
      <c r="X37" s="2548"/>
      <c r="Y37" s="2548"/>
      <c r="Z37" s="2548"/>
      <c r="AA37" s="2548"/>
      <c r="AB37" s="2548"/>
      <c r="AC37" s="2548"/>
      <c r="AD37" s="2548"/>
      <c r="AE37" s="2548"/>
      <c r="AF37" s="2548"/>
      <c r="AG37" s="2548"/>
      <c r="AH37" s="2548"/>
      <c r="AI37" s="2548"/>
      <c r="AJ37" s="2549"/>
      <c r="AK37" s="540"/>
      <c r="AL37" s="540"/>
      <c r="AM37" s="540"/>
      <c r="AN37" s="535"/>
    </row>
    <row r="38" spans="1:41" s="536" customFormat="1" ht="12.75" customHeight="1">
      <c r="A38" s="540"/>
      <c r="B38" s="540"/>
      <c r="C38" s="540"/>
      <c r="E38" s="2569"/>
      <c r="F38" s="2570"/>
      <c r="G38" s="2570"/>
      <c r="H38" s="2570"/>
      <c r="I38" s="2570"/>
      <c r="J38" s="2570"/>
      <c r="K38" s="2570"/>
      <c r="L38" s="2570"/>
      <c r="M38" s="2570"/>
      <c r="N38" s="2570"/>
      <c r="O38" s="2570"/>
      <c r="P38" s="2570"/>
      <c r="Q38" s="2570"/>
      <c r="R38" s="2570"/>
      <c r="S38" s="2570"/>
      <c r="T38" s="2570"/>
      <c r="U38" s="2570"/>
      <c r="V38" s="2570"/>
      <c r="W38" s="2570"/>
      <c r="X38" s="2570"/>
      <c r="Y38" s="2570"/>
      <c r="Z38" s="2570"/>
      <c r="AA38" s="2570"/>
      <c r="AB38" s="2570"/>
      <c r="AC38" s="2570"/>
      <c r="AD38" s="2570"/>
      <c r="AE38" s="2570"/>
      <c r="AF38" s="2570"/>
      <c r="AG38" s="2570"/>
      <c r="AH38" s="2570"/>
      <c r="AI38" s="2570"/>
      <c r="AJ38" s="257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7" t="s">
        <v>592</v>
      </c>
      <c r="C40" s="2617"/>
      <c r="D40" s="547"/>
      <c r="E40" s="2544" t="s">
        <v>2252</v>
      </c>
      <c r="F40" s="2545"/>
      <c r="G40" s="2545"/>
      <c r="H40" s="2545"/>
      <c r="I40" s="2545"/>
      <c r="J40" s="2545"/>
      <c r="K40" s="2545"/>
      <c r="L40" s="2545"/>
      <c r="M40" s="2545"/>
      <c r="N40" s="2545"/>
      <c r="O40" s="2545"/>
      <c r="P40" s="2545"/>
      <c r="Q40" s="2545"/>
      <c r="R40" s="2545"/>
      <c r="S40" s="2545"/>
      <c r="T40" s="2545"/>
      <c r="U40" s="2545"/>
      <c r="V40" s="2545"/>
      <c r="W40" s="2545"/>
      <c r="X40" s="2545"/>
      <c r="Y40" s="2545"/>
      <c r="Z40" s="2545"/>
      <c r="AA40" s="2545"/>
      <c r="AB40" s="2545"/>
      <c r="AC40" s="2545"/>
      <c r="AD40" s="2545"/>
      <c r="AE40" s="2545"/>
      <c r="AF40" s="2545"/>
      <c r="AG40" s="2545"/>
      <c r="AH40" s="2545"/>
      <c r="AI40" s="2545"/>
      <c r="AJ40" s="2546"/>
      <c r="AK40" s="540"/>
      <c r="AL40" s="540"/>
      <c r="AM40" s="540"/>
      <c r="AN40" s="535"/>
    </row>
    <row r="41" spans="1:41" s="536" customFormat="1" ht="12.75" customHeight="1">
      <c r="A41" s="540"/>
      <c r="B41" s="540"/>
      <c r="C41" s="540"/>
      <c r="E41" s="2569"/>
      <c r="F41" s="2570"/>
      <c r="G41" s="2570"/>
      <c r="H41" s="2570"/>
      <c r="I41" s="2570"/>
      <c r="J41" s="2570"/>
      <c r="K41" s="2570"/>
      <c r="L41" s="2570"/>
      <c r="M41" s="2570"/>
      <c r="N41" s="2570"/>
      <c r="O41" s="2570"/>
      <c r="P41" s="2570"/>
      <c r="Q41" s="2570"/>
      <c r="R41" s="2570"/>
      <c r="S41" s="2570"/>
      <c r="T41" s="2570"/>
      <c r="U41" s="2570"/>
      <c r="V41" s="2570"/>
      <c r="W41" s="2570"/>
      <c r="X41" s="2570"/>
      <c r="Y41" s="2570"/>
      <c r="Z41" s="2570"/>
      <c r="AA41" s="2570"/>
      <c r="AB41" s="2570"/>
      <c r="AC41" s="2570"/>
      <c r="AD41" s="2570"/>
      <c r="AE41" s="2570"/>
      <c r="AF41" s="2570"/>
      <c r="AG41" s="2570"/>
      <c r="AH41" s="2570"/>
      <c r="AI41" s="2570"/>
      <c r="AJ41" s="257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7" t="s">
        <v>592</v>
      </c>
      <c r="C45" s="2617"/>
      <c r="D45" s="1142"/>
      <c r="E45" s="2544" t="s">
        <v>2010</v>
      </c>
      <c r="F45" s="2545"/>
      <c r="G45" s="2545"/>
      <c r="H45" s="2545"/>
      <c r="I45" s="2545"/>
      <c r="J45" s="2545"/>
      <c r="K45" s="2545"/>
      <c r="L45" s="2545"/>
      <c r="M45" s="2545"/>
      <c r="N45" s="2545"/>
      <c r="O45" s="2545"/>
      <c r="P45" s="2545"/>
      <c r="Q45" s="2545"/>
      <c r="R45" s="2545"/>
      <c r="S45" s="2545"/>
      <c r="T45" s="2545"/>
      <c r="U45" s="2545"/>
      <c r="V45" s="2545"/>
      <c r="W45" s="2545"/>
      <c r="X45" s="2545"/>
      <c r="Y45" s="2545"/>
      <c r="Z45" s="2545"/>
      <c r="AA45" s="2545"/>
      <c r="AB45" s="2545"/>
      <c r="AC45" s="2545"/>
      <c r="AD45" s="2545"/>
      <c r="AE45" s="2545"/>
      <c r="AF45" s="2545"/>
      <c r="AG45" s="2545"/>
      <c r="AH45" s="2545"/>
      <c r="AI45" s="2545"/>
      <c r="AJ45" s="2546"/>
      <c r="AK45" s="1142"/>
      <c r="AL45" s="540"/>
      <c r="AM45" s="540"/>
      <c r="AN45" s="535"/>
    </row>
    <row r="46" spans="1:41" s="536" customFormat="1" ht="12.75" customHeight="1">
      <c r="A46" s="540"/>
      <c r="B46" s="540"/>
      <c r="C46" s="540"/>
      <c r="E46" s="2547"/>
      <c r="F46" s="2548"/>
      <c r="G46" s="2548"/>
      <c r="H46" s="2548"/>
      <c r="I46" s="2548"/>
      <c r="J46" s="2548"/>
      <c r="K46" s="2548"/>
      <c r="L46" s="2548"/>
      <c r="M46" s="2548"/>
      <c r="N46" s="2548"/>
      <c r="O46" s="2548"/>
      <c r="P46" s="2548"/>
      <c r="Q46" s="2548"/>
      <c r="R46" s="2548"/>
      <c r="S46" s="2548"/>
      <c r="T46" s="2548"/>
      <c r="U46" s="2548"/>
      <c r="V46" s="2548"/>
      <c r="W46" s="2548"/>
      <c r="X46" s="2548"/>
      <c r="Y46" s="2548"/>
      <c r="Z46" s="2548"/>
      <c r="AA46" s="2548"/>
      <c r="AB46" s="2548"/>
      <c r="AC46" s="2548"/>
      <c r="AD46" s="2548"/>
      <c r="AE46" s="2548"/>
      <c r="AF46" s="2548"/>
      <c r="AG46" s="2548"/>
      <c r="AH46" s="2548"/>
      <c r="AI46" s="2548"/>
      <c r="AJ46" s="2549"/>
      <c r="AK46" s="540"/>
      <c r="AL46" s="540"/>
      <c r="AM46" s="540"/>
      <c r="AN46" s="535"/>
    </row>
    <row r="47" spans="1:41" s="536" customFormat="1" ht="12.75" customHeight="1">
      <c r="A47" s="540"/>
      <c r="D47" s="547"/>
      <c r="E47" s="2569"/>
      <c r="F47" s="2570"/>
      <c r="G47" s="2570"/>
      <c r="H47" s="2570"/>
      <c r="I47" s="2570"/>
      <c r="J47" s="2570"/>
      <c r="K47" s="2570"/>
      <c r="L47" s="2570"/>
      <c r="M47" s="2570"/>
      <c r="N47" s="2570"/>
      <c r="O47" s="2570"/>
      <c r="P47" s="2570"/>
      <c r="Q47" s="2570"/>
      <c r="R47" s="2570"/>
      <c r="S47" s="2570"/>
      <c r="T47" s="2570"/>
      <c r="U47" s="2570"/>
      <c r="V47" s="2570"/>
      <c r="W47" s="2570"/>
      <c r="X47" s="2570"/>
      <c r="Y47" s="2570"/>
      <c r="Z47" s="2570"/>
      <c r="AA47" s="2570"/>
      <c r="AB47" s="2570"/>
      <c r="AC47" s="2570"/>
      <c r="AD47" s="2570"/>
      <c r="AE47" s="2570"/>
      <c r="AF47" s="2570"/>
      <c r="AG47" s="2570"/>
      <c r="AH47" s="2570"/>
      <c r="AI47" s="2570"/>
      <c r="AJ47" s="257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7" t="s">
        <v>592</v>
      </c>
      <c r="C52" s="2617"/>
      <c r="D52" s="540"/>
      <c r="E52" s="2544" t="s">
        <v>2015</v>
      </c>
      <c r="F52" s="2545"/>
      <c r="G52" s="2545"/>
      <c r="H52" s="2545"/>
      <c r="I52" s="2545"/>
      <c r="J52" s="2545"/>
      <c r="K52" s="2545"/>
      <c r="L52" s="2545"/>
      <c r="M52" s="2545"/>
      <c r="N52" s="2545"/>
      <c r="O52" s="2545"/>
      <c r="P52" s="2545"/>
      <c r="Q52" s="2545"/>
      <c r="R52" s="2545"/>
      <c r="S52" s="2545"/>
      <c r="T52" s="2545"/>
      <c r="U52" s="2545"/>
      <c r="V52" s="2545"/>
      <c r="W52" s="2545"/>
      <c r="X52" s="2545"/>
      <c r="Y52" s="2545"/>
      <c r="Z52" s="2545"/>
      <c r="AA52" s="2545"/>
      <c r="AB52" s="2545"/>
      <c r="AC52" s="2545"/>
      <c r="AD52" s="2545"/>
      <c r="AE52" s="2545"/>
      <c r="AF52" s="2545"/>
      <c r="AG52" s="2545"/>
      <c r="AH52" s="2545"/>
      <c r="AI52" s="2545"/>
      <c r="AJ52" s="2546"/>
      <c r="AK52" s="540"/>
      <c r="AL52" s="540"/>
      <c r="AM52" s="540"/>
      <c r="AN52" s="535"/>
      <c r="AO52" s="559"/>
    </row>
    <row r="53" spans="1:50" s="536" customFormat="1" ht="12.75" customHeight="1">
      <c r="A53" s="540"/>
      <c r="D53" s="547"/>
      <c r="E53" s="2547"/>
      <c r="F53" s="2548"/>
      <c r="G53" s="2548"/>
      <c r="H53" s="2548"/>
      <c r="I53" s="2548"/>
      <c r="J53" s="2548"/>
      <c r="K53" s="2548"/>
      <c r="L53" s="2548"/>
      <c r="M53" s="2548"/>
      <c r="N53" s="2548"/>
      <c r="O53" s="2548"/>
      <c r="P53" s="2548"/>
      <c r="Q53" s="2548"/>
      <c r="R53" s="2548"/>
      <c r="S53" s="2548"/>
      <c r="T53" s="2548"/>
      <c r="U53" s="2548"/>
      <c r="V53" s="2548"/>
      <c r="W53" s="2548"/>
      <c r="X53" s="2548"/>
      <c r="Y53" s="2548"/>
      <c r="Z53" s="2548"/>
      <c r="AA53" s="2548"/>
      <c r="AB53" s="2548"/>
      <c r="AC53" s="2548"/>
      <c r="AD53" s="2548"/>
      <c r="AE53" s="2548"/>
      <c r="AF53" s="2548"/>
      <c r="AG53" s="2548"/>
      <c r="AH53" s="2548"/>
      <c r="AI53" s="2548"/>
      <c r="AJ53" s="2549"/>
      <c r="AK53" s="540"/>
      <c r="AL53" s="540"/>
      <c r="AM53" s="540"/>
      <c r="AN53" s="535"/>
      <c r="AO53" s="559"/>
    </row>
    <row r="54" spans="1:50" s="536" customFormat="1" ht="12.75" customHeight="1">
      <c r="A54" s="540"/>
      <c r="D54" s="540"/>
      <c r="E54" s="2569"/>
      <c r="F54" s="2570"/>
      <c r="G54" s="2570"/>
      <c r="H54" s="2570"/>
      <c r="I54" s="2570"/>
      <c r="J54" s="2570"/>
      <c r="K54" s="2570"/>
      <c r="L54" s="2570"/>
      <c r="M54" s="2570"/>
      <c r="N54" s="2570"/>
      <c r="O54" s="2570"/>
      <c r="P54" s="2570"/>
      <c r="Q54" s="2570"/>
      <c r="R54" s="2570"/>
      <c r="S54" s="2570"/>
      <c r="T54" s="2570"/>
      <c r="U54" s="2570"/>
      <c r="V54" s="2570"/>
      <c r="W54" s="2570"/>
      <c r="X54" s="2570"/>
      <c r="Y54" s="2570"/>
      <c r="Z54" s="2570"/>
      <c r="AA54" s="2570"/>
      <c r="AB54" s="2570"/>
      <c r="AC54" s="2570"/>
      <c r="AD54" s="2570"/>
      <c r="AE54" s="2570"/>
      <c r="AF54" s="2570"/>
      <c r="AG54" s="2570"/>
      <c r="AH54" s="2570"/>
      <c r="AI54" s="2570"/>
      <c r="AJ54" s="257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7" t="s">
        <v>592</v>
      </c>
      <c r="C56" s="2617"/>
      <c r="D56" s="540"/>
      <c r="E56" s="2643" t="s">
        <v>2016</v>
      </c>
      <c r="F56" s="2644"/>
      <c r="G56" s="2644"/>
      <c r="H56" s="2644"/>
      <c r="I56" s="2644"/>
      <c r="J56" s="2644"/>
      <c r="K56" s="2644"/>
      <c r="L56" s="2644"/>
      <c r="M56" s="2644"/>
      <c r="N56" s="2644"/>
      <c r="O56" s="2644"/>
      <c r="P56" s="2644"/>
      <c r="Q56" s="2644"/>
      <c r="R56" s="2644"/>
      <c r="S56" s="2644"/>
      <c r="T56" s="2644"/>
      <c r="U56" s="2644"/>
      <c r="V56" s="2644"/>
      <c r="W56" s="2644"/>
      <c r="X56" s="2644"/>
      <c r="Y56" s="2644"/>
      <c r="Z56" s="2644"/>
      <c r="AA56" s="2644"/>
      <c r="AB56" s="2644"/>
      <c r="AC56" s="2644"/>
      <c r="AD56" s="2644"/>
      <c r="AE56" s="2644"/>
      <c r="AF56" s="2644"/>
      <c r="AG56" s="2644"/>
      <c r="AH56" s="2644"/>
      <c r="AI56" s="2644"/>
      <c r="AJ56" s="264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7" t="s">
        <v>592</v>
      </c>
      <c r="C58" s="2617"/>
      <c r="D58" s="540"/>
      <c r="E58" s="2544" t="s">
        <v>2017</v>
      </c>
      <c r="F58" s="2545"/>
      <c r="G58" s="2545"/>
      <c r="H58" s="2545"/>
      <c r="I58" s="2545"/>
      <c r="J58" s="2545"/>
      <c r="K58" s="2545"/>
      <c r="L58" s="2545"/>
      <c r="M58" s="2545"/>
      <c r="N58" s="2545"/>
      <c r="O58" s="2545"/>
      <c r="P58" s="2545"/>
      <c r="Q58" s="2545"/>
      <c r="R58" s="2545"/>
      <c r="S58" s="2545"/>
      <c r="T58" s="2545"/>
      <c r="U58" s="2545"/>
      <c r="V58" s="2545"/>
      <c r="W58" s="2545"/>
      <c r="X58" s="2545"/>
      <c r="Y58" s="2545"/>
      <c r="Z58" s="2545"/>
      <c r="AA58" s="2545"/>
      <c r="AB58" s="2545"/>
      <c r="AC58" s="2545"/>
      <c r="AD58" s="2545"/>
      <c r="AE58" s="2545"/>
      <c r="AF58" s="2545"/>
      <c r="AG58" s="2545"/>
      <c r="AH58" s="2545"/>
      <c r="AI58" s="2545"/>
      <c r="AJ58" s="2546"/>
      <c r="AK58" s="540"/>
      <c r="AL58" s="540"/>
      <c r="AM58" s="540"/>
      <c r="AN58" s="535"/>
    </row>
    <row r="59" spans="1:50" s="536" customFormat="1" ht="12.75" customHeight="1">
      <c r="A59" s="540"/>
      <c r="B59" s="547"/>
      <c r="C59" s="547"/>
      <c r="D59" s="547"/>
      <c r="E59" s="2569"/>
      <c r="F59" s="2570"/>
      <c r="G59" s="2570"/>
      <c r="H59" s="2570"/>
      <c r="I59" s="2570"/>
      <c r="J59" s="2570"/>
      <c r="K59" s="2570"/>
      <c r="L59" s="2570"/>
      <c r="M59" s="2570"/>
      <c r="N59" s="2570"/>
      <c r="O59" s="2570"/>
      <c r="P59" s="2570"/>
      <c r="Q59" s="2570"/>
      <c r="R59" s="2570"/>
      <c r="S59" s="2570"/>
      <c r="T59" s="2570"/>
      <c r="U59" s="2570"/>
      <c r="V59" s="2570"/>
      <c r="W59" s="2570"/>
      <c r="X59" s="2570"/>
      <c r="Y59" s="2570"/>
      <c r="Z59" s="2570"/>
      <c r="AA59" s="2570"/>
      <c r="AB59" s="2570"/>
      <c r="AC59" s="2570"/>
      <c r="AD59" s="2570"/>
      <c r="AE59" s="2570"/>
      <c r="AF59" s="2570"/>
      <c r="AG59" s="2570"/>
      <c r="AH59" s="2570"/>
      <c r="AI59" s="2570"/>
      <c r="AJ59" s="257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90">
        <f>AO39</f>
        <v>0</v>
      </c>
      <c r="AL62" s="2591"/>
      <c r="AM62" s="259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4" t="s">
        <v>1315</v>
      </c>
      <c r="AF65" s="2464"/>
      <c r="AG65" s="2464"/>
      <c r="AH65" s="2464"/>
      <c r="AI65" s="2464"/>
      <c r="AJ65" s="2464"/>
      <c r="AK65" s="2464"/>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7" t="s">
        <v>592</v>
      </c>
      <c r="C68" s="2617"/>
      <c r="D68" s="547" t="s">
        <v>1316</v>
      </c>
      <c r="E68" s="2609" t="s">
        <v>2018</v>
      </c>
      <c r="F68" s="2610"/>
      <c r="G68" s="2610"/>
      <c r="H68" s="2610"/>
      <c r="I68" s="2610"/>
      <c r="J68" s="2610"/>
      <c r="K68" s="2610"/>
      <c r="L68" s="2610"/>
      <c r="M68" s="2610"/>
      <c r="N68" s="2610"/>
      <c r="O68" s="2610"/>
      <c r="P68" s="2610"/>
      <c r="Q68" s="2610"/>
      <c r="R68" s="2610"/>
      <c r="S68" s="2610"/>
      <c r="T68" s="2610"/>
      <c r="U68" s="2610"/>
      <c r="V68" s="2610"/>
      <c r="W68" s="2610"/>
      <c r="X68" s="2610"/>
      <c r="Y68" s="2610"/>
      <c r="Z68" s="2610"/>
      <c r="AA68" s="2610"/>
      <c r="AB68" s="2610"/>
      <c r="AC68" s="2610"/>
      <c r="AD68" s="2610"/>
      <c r="AE68" s="2610"/>
      <c r="AF68" s="2610"/>
      <c r="AG68" s="2610"/>
      <c r="AH68" s="2610"/>
      <c r="AI68" s="2610"/>
      <c r="AJ68" s="2611"/>
      <c r="AK68" s="543"/>
      <c r="AL68" s="540"/>
      <c r="AM68" s="540"/>
      <c r="AN68" s="535"/>
      <c r="AO68" s="550">
        <f>IF($B68="yes",10,0)</f>
        <v>0</v>
      </c>
    </row>
    <row r="69" spans="1:42" s="536" customFormat="1" ht="12.75" customHeight="1">
      <c r="A69" s="538"/>
      <c r="B69" s="540"/>
      <c r="C69" s="540"/>
      <c r="D69" s="551"/>
      <c r="E69" s="2612"/>
      <c r="F69" s="2613"/>
      <c r="G69" s="2613"/>
      <c r="H69" s="2613"/>
      <c r="I69" s="2613"/>
      <c r="J69" s="2613"/>
      <c r="K69" s="2613"/>
      <c r="L69" s="2613"/>
      <c r="M69" s="2613"/>
      <c r="N69" s="2613"/>
      <c r="O69" s="2613"/>
      <c r="P69" s="2613"/>
      <c r="Q69" s="2613"/>
      <c r="R69" s="2613"/>
      <c r="S69" s="2613"/>
      <c r="T69" s="2613"/>
      <c r="U69" s="2613"/>
      <c r="V69" s="2613"/>
      <c r="W69" s="2613"/>
      <c r="X69" s="2613"/>
      <c r="Y69" s="2613"/>
      <c r="Z69" s="2613"/>
      <c r="AA69" s="2613"/>
      <c r="AB69" s="2613"/>
      <c r="AC69" s="2613"/>
      <c r="AD69" s="2613"/>
      <c r="AE69" s="2613"/>
      <c r="AF69" s="2613"/>
      <c r="AG69" s="2613"/>
      <c r="AH69" s="2613"/>
      <c r="AI69" s="2613"/>
      <c r="AJ69" s="2614"/>
      <c r="AK69" s="543"/>
      <c r="AL69" s="540"/>
      <c r="AM69" s="540"/>
      <c r="AN69" s="535"/>
      <c r="AO69" s="550">
        <f>IF($B74="yes",10,0)</f>
        <v>10</v>
      </c>
    </row>
    <row r="70" spans="1:42" s="536" customFormat="1" ht="12.75" customHeight="1">
      <c r="A70" s="538"/>
      <c r="B70" s="540"/>
      <c r="C70" s="540"/>
      <c r="D70" s="551"/>
      <c r="E70" s="2612"/>
      <c r="F70" s="2613"/>
      <c r="G70" s="2613"/>
      <c r="H70" s="2613"/>
      <c r="I70" s="2613"/>
      <c r="J70" s="2613"/>
      <c r="K70" s="2613"/>
      <c r="L70" s="2613"/>
      <c r="M70" s="2613"/>
      <c r="N70" s="2613"/>
      <c r="O70" s="2613"/>
      <c r="P70" s="2613"/>
      <c r="Q70" s="2613"/>
      <c r="R70" s="2613"/>
      <c r="S70" s="2613"/>
      <c r="T70" s="2613"/>
      <c r="U70" s="2613"/>
      <c r="V70" s="2613"/>
      <c r="W70" s="2613"/>
      <c r="X70" s="2613"/>
      <c r="Y70" s="2613"/>
      <c r="Z70" s="2613"/>
      <c r="AA70" s="2613"/>
      <c r="AB70" s="2613"/>
      <c r="AC70" s="2613"/>
      <c r="AD70" s="2613"/>
      <c r="AE70" s="2613"/>
      <c r="AF70" s="2613"/>
      <c r="AG70" s="2613"/>
      <c r="AH70" s="2613"/>
      <c r="AI70" s="2613"/>
      <c r="AJ70" s="2614"/>
      <c r="AK70" s="543"/>
      <c r="AL70" s="540"/>
      <c r="AM70" s="540"/>
      <c r="AN70" s="535"/>
      <c r="AO70" s="550">
        <f>IF($B81="yes",10,0)</f>
        <v>0</v>
      </c>
    </row>
    <row r="71" spans="1:42" s="536" customFormat="1" ht="12.75" customHeight="1">
      <c r="A71" s="538"/>
      <c r="B71" s="540"/>
      <c r="C71" s="540"/>
      <c r="D71" s="551"/>
      <c r="E71" s="2612"/>
      <c r="F71" s="2613"/>
      <c r="G71" s="2613"/>
      <c r="H71" s="2613"/>
      <c r="I71" s="2613"/>
      <c r="J71" s="2613"/>
      <c r="K71" s="2613"/>
      <c r="L71" s="2613"/>
      <c r="M71" s="2613"/>
      <c r="N71" s="2613"/>
      <c r="O71" s="2613"/>
      <c r="P71" s="2613"/>
      <c r="Q71" s="2613"/>
      <c r="R71" s="2613"/>
      <c r="S71" s="2613"/>
      <c r="T71" s="2613"/>
      <c r="U71" s="2613"/>
      <c r="V71" s="2613"/>
      <c r="W71" s="2613"/>
      <c r="X71" s="2613"/>
      <c r="Y71" s="2613"/>
      <c r="Z71" s="2613"/>
      <c r="AA71" s="2613"/>
      <c r="AB71" s="2613"/>
      <c r="AC71" s="2613"/>
      <c r="AD71" s="2613"/>
      <c r="AE71" s="2613"/>
      <c r="AF71" s="2613"/>
      <c r="AG71" s="2613"/>
      <c r="AH71" s="2613"/>
      <c r="AI71" s="2613"/>
      <c r="AJ71" s="2614"/>
      <c r="AK71" s="543"/>
      <c r="AL71" s="540"/>
      <c r="AM71" s="540"/>
      <c r="AN71" s="535"/>
      <c r="AO71" s="536">
        <f>IF(SUM(AO68:AO70)&gt;10,10,(SUM(AO68:AO70)))</f>
        <v>10</v>
      </c>
      <c r="AP71" s="574" t="s">
        <v>1317</v>
      </c>
    </row>
    <row r="72" spans="1:42" s="536" customFormat="1" ht="12.75" customHeight="1">
      <c r="A72" s="538"/>
      <c r="B72" s="540"/>
      <c r="C72" s="540"/>
      <c r="D72" s="551"/>
      <c r="E72" s="2639"/>
      <c r="F72" s="2640"/>
      <c r="G72" s="2640"/>
      <c r="H72" s="2640"/>
      <c r="I72" s="2640"/>
      <c r="J72" s="2640"/>
      <c r="K72" s="2640"/>
      <c r="L72" s="2640"/>
      <c r="M72" s="2640"/>
      <c r="N72" s="2640"/>
      <c r="O72" s="2640"/>
      <c r="P72" s="2640"/>
      <c r="Q72" s="2640"/>
      <c r="R72" s="2640"/>
      <c r="S72" s="2640"/>
      <c r="T72" s="2640"/>
      <c r="U72" s="2640"/>
      <c r="V72" s="2640"/>
      <c r="W72" s="2640"/>
      <c r="X72" s="2640"/>
      <c r="Y72" s="2640"/>
      <c r="Z72" s="2640"/>
      <c r="AA72" s="2640"/>
      <c r="AB72" s="2640"/>
      <c r="AC72" s="2640"/>
      <c r="AD72" s="2640"/>
      <c r="AE72" s="2640"/>
      <c r="AF72" s="2640"/>
      <c r="AG72" s="2640"/>
      <c r="AH72" s="2640"/>
      <c r="AI72" s="2640"/>
      <c r="AJ72" s="264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7" t="s">
        <v>546</v>
      </c>
      <c r="C74" s="2617"/>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2" t="s">
        <v>546</v>
      </c>
      <c r="F75" s="2617"/>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7" t="s">
        <v>592</v>
      </c>
      <c r="F76" s="2638"/>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7" t="s">
        <v>592</v>
      </c>
      <c r="F77" s="2638"/>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2" t="s">
        <v>592</v>
      </c>
      <c r="F79" s="2617"/>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7" t="s">
        <v>592</v>
      </c>
      <c r="C81" s="2617"/>
      <c r="D81" s="547" t="s">
        <v>1321</v>
      </c>
      <c r="E81" s="2544" t="s">
        <v>1741</v>
      </c>
      <c r="F81" s="2545"/>
      <c r="G81" s="2545"/>
      <c r="H81" s="2545"/>
      <c r="I81" s="2545"/>
      <c r="J81" s="2545"/>
      <c r="K81" s="2545"/>
      <c r="L81" s="2545"/>
      <c r="M81" s="2545"/>
      <c r="N81" s="2545"/>
      <c r="O81" s="2545"/>
      <c r="P81" s="2545"/>
      <c r="Q81" s="2545"/>
      <c r="R81" s="2545"/>
      <c r="S81" s="2545"/>
      <c r="T81" s="2545"/>
      <c r="U81" s="2545"/>
      <c r="V81" s="2545"/>
      <c r="W81" s="2545"/>
      <c r="X81" s="2545"/>
      <c r="Y81" s="2545"/>
      <c r="Z81" s="2545"/>
      <c r="AA81" s="2545"/>
      <c r="AB81" s="2545"/>
      <c r="AC81" s="2545"/>
      <c r="AD81" s="2545"/>
      <c r="AE81" s="2545"/>
      <c r="AF81" s="2545"/>
      <c r="AG81" s="2545"/>
      <c r="AH81" s="2545"/>
      <c r="AI81" s="2545"/>
      <c r="AJ81" s="2546"/>
      <c r="AK81" s="543"/>
      <c r="AL81" s="540"/>
      <c r="AM81" s="540"/>
      <c r="AN81" s="535"/>
    </row>
    <row r="82" spans="1:43" s="536" customFormat="1" ht="12.75" customHeight="1">
      <c r="A82" s="538"/>
      <c r="B82" s="540"/>
      <c r="C82" s="540"/>
      <c r="D82" s="550"/>
      <c r="E82" s="2569"/>
      <c r="F82" s="2570"/>
      <c r="G82" s="2570"/>
      <c r="H82" s="2570"/>
      <c r="I82" s="2570"/>
      <c r="J82" s="2570"/>
      <c r="K82" s="2570"/>
      <c r="L82" s="2570"/>
      <c r="M82" s="2570"/>
      <c r="N82" s="2570"/>
      <c r="O82" s="2570"/>
      <c r="P82" s="2570"/>
      <c r="Q82" s="2570"/>
      <c r="R82" s="2570"/>
      <c r="S82" s="2570"/>
      <c r="T82" s="2570"/>
      <c r="U82" s="2570"/>
      <c r="V82" s="2570"/>
      <c r="W82" s="2570"/>
      <c r="X82" s="2570"/>
      <c r="Y82" s="2570"/>
      <c r="Z82" s="2570"/>
      <c r="AA82" s="2570"/>
      <c r="AB82" s="2570"/>
      <c r="AC82" s="2570"/>
      <c r="AD82" s="2570"/>
      <c r="AE82" s="2570"/>
      <c r="AF82" s="2570"/>
      <c r="AG82" s="2570"/>
      <c r="AH82" s="2570"/>
      <c r="AI82" s="2570"/>
      <c r="AJ82" s="257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90">
        <f>IF(AK62&gt;0,0,AO71)</f>
        <v>10</v>
      </c>
      <c r="AL84" s="2591"/>
      <c r="AM84" s="259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4" t="s">
        <v>1306</v>
      </c>
      <c r="AF87" s="2464"/>
      <c r="AG87" s="2464"/>
      <c r="AH87" s="2464"/>
      <c r="AI87" s="2464"/>
      <c r="AJ87" s="2464"/>
      <c r="AK87" s="2464"/>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7" t="s">
        <v>592</v>
      </c>
      <c r="C90" s="2617"/>
      <c r="D90" s="547" t="s">
        <v>1316</v>
      </c>
      <c r="E90" s="2609" t="s">
        <v>1326</v>
      </c>
      <c r="F90" s="2610"/>
      <c r="G90" s="2610"/>
      <c r="H90" s="2610"/>
      <c r="I90" s="2610"/>
      <c r="J90" s="2610"/>
      <c r="K90" s="2610"/>
      <c r="L90" s="2610"/>
      <c r="M90" s="2610"/>
      <c r="N90" s="2610"/>
      <c r="O90" s="2610"/>
      <c r="P90" s="2610"/>
      <c r="Q90" s="2610"/>
      <c r="R90" s="2610"/>
      <c r="S90" s="2610"/>
      <c r="T90" s="2610"/>
      <c r="U90" s="2610"/>
      <c r="V90" s="2610"/>
      <c r="W90" s="2610"/>
      <c r="X90" s="2610"/>
      <c r="Y90" s="2610"/>
      <c r="Z90" s="2610"/>
      <c r="AA90" s="2610"/>
      <c r="AB90" s="2610"/>
      <c r="AC90" s="2610"/>
      <c r="AD90" s="2610"/>
      <c r="AE90" s="2610"/>
      <c r="AF90" s="2610"/>
      <c r="AG90" s="2610"/>
      <c r="AH90" s="2610"/>
      <c r="AI90" s="2610"/>
      <c r="AJ90" s="2611"/>
      <c r="AK90" s="543"/>
      <c r="AL90" s="540"/>
      <c r="AM90" s="540"/>
      <c r="AN90" s="535"/>
    </row>
    <row r="91" spans="1:43" s="536" customFormat="1" ht="12.75" customHeight="1">
      <c r="A91" s="538"/>
      <c r="B91" s="539"/>
      <c r="C91" s="539"/>
      <c r="D91" s="539"/>
      <c r="E91" s="2612"/>
      <c r="F91" s="2613"/>
      <c r="G91" s="2613"/>
      <c r="H91" s="2613"/>
      <c r="I91" s="2613"/>
      <c r="J91" s="2613"/>
      <c r="K91" s="2613"/>
      <c r="L91" s="2613"/>
      <c r="M91" s="2613"/>
      <c r="N91" s="2613"/>
      <c r="O91" s="2613"/>
      <c r="P91" s="2613"/>
      <c r="Q91" s="2613"/>
      <c r="R91" s="2613"/>
      <c r="S91" s="2613"/>
      <c r="T91" s="2613"/>
      <c r="U91" s="2613"/>
      <c r="V91" s="2613"/>
      <c r="W91" s="2613"/>
      <c r="X91" s="2613"/>
      <c r="Y91" s="2613"/>
      <c r="Z91" s="2613"/>
      <c r="AA91" s="2613"/>
      <c r="AB91" s="2613"/>
      <c r="AC91" s="2613"/>
      <c r="AD91" s="2613"/>
      <c r="AE91" s="2613"/>
      <c r="AF91" s="2613"/>
      <c r="AG91" s="2613"/>
      <c r="AH91" s="2613"/>
      <c r="AI91" s="2613"/>
      <c r="AJ91" s="26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5">
        <f>Application!AC753</f>
        <v>0.55168539325842691</v>
      </c>
      <c r="F93" s="2606"/>
      <c r="G93" s="2606"/>
      <c r="H93" s="2606"/>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6">
        <f>0.6-ROUNDUP(E93,2)</f>
        <v>3.9999999999999925E-2</v>
      </c>
      <c r="F94" s="2411"/>
      <c r="G94" s="2411"/>
      <c r="H94" s="2411"/>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1">
        <f>IF(E94*200&gt;20,20,E94*200)</f>
        <v>7.9999999999999849</v>
      </c>
      <c r="F95" s="2622"/>
      <c r="G95" s="2622"/>
      <c r="H95" s="2622"/>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7" t="s">
        <v>546</v>
      </c>
      <c r="C98" s="2617"/>
      <c r="D98" s="547" t="s">
        <v>1318</v>
      </c>
      <c r="E98" s="2609" t="s">
        <v>1726</v>
      </c>
      <c r="F98" s="2610"/>
      <c r="G98" s="2610"/>
      <c r="H98" s="2610"/>
      <c r="I98" s="2610"/>
      <c r="J98" s="2610"/>
      <c r="K98" s="2610"/>
      <c r="L98" s="2610"/>
      <c r="M98" s="2610"/>
      <c r="N98" s="2610"/>
      <c r="O98" s="2610"/>
      <c r="P98" s="2610"/>
      <c r="Q98" s="2610"/>
      <c r="R98" s="2610"/>
      <c r="S98" s="2610"/>
      <c r="T98" s="2610"/>
      <c r="U98" s="2610"/>
      <c r="V98" s="2610"/>
      <c r="W98" s="2610"/>
      <c r="X98" s="2610"/>
      <c r="Y98" s="2610"/>
      <c r="Z98" s="2610"/>
      <c r="AA98" s="2610"/>
      <c r="AB98" s="2610"/>
      <c r="AC98" s="2610"/>
      <c r="AD98" s="2610"/>
      <c r="AE98" s="2610"/>
      <c r="AF98" s="2610"/>
      <c r="AG98" s="2610"/>
      <c r="AH98" s="2610"/>
      <c r="AI98" s="2610"/>
      <c r="AJ98" s="2611"/>
      <c r="AK98" s="543"/>
      <c r="AL98" s="540"/>
      <c r="AM98" s="540"/>
      <c r="AN98" s="535"/>
    </row>
    <row r="99" spans="1:47" s="536" customFormat="1" ht="12.75" customHeight="1">
      <c r="A99" s="538"/>
      <c r="B99" s="539"/>
      <c r="C99" s="539"/>
      <c r="D99" s="539"/>
      <c r="E99" s="2612"/>
      <c r="F99" s="2613"/>
      <c r="G99" s="2613"/>
      <c r="H99" s="2613"/>
      <c r="I99" s="2613"/>
      <c r="J99" s="2613"/>
      <c r="K99" s="2613"/>
      <c r="L99" s="2613"/>
      <c r="M99" s="2613"/>
      <c r="N99" s="2613"/>
      <c r="O99" s="2613"/>
      <c r="P99" s="2613"/>
      <c r="Q99" s="2613"/>
      <c r="R99" s="2613"/>
      <c r="S99" s="2613"/>
      <c r="T99" s="2613"/>
      <c r="U99" s="2613"/>
      <c r="V99" s="2613"/>
      <c r="W99" s="2613"/>
      <c r="X99" s="2613"/>
      <c r="Y99" s="2613"/>
      <c r="Z99" s="2613"/>
      <c r="AA99" s="2613"/>
      <c r="AB99" s="2613"/>
      <c r="AC99" s="2613"/>
      <c r="AD99" s="2613"/>
      <c r="AE99" s="2613"/>
      <c r="AF99" s="2613"/>
      <c r="AG99" s="2613"/>
      <c r="AH99" s="2613"/>
      <c r="AI99" s="2613"/>
      <c r="AJ99" s="2614"/>
      <c r="AK99" s="543"/>
      <c r="AL99" s="540"/>
      <c r="AM99" s="540"/>
      <c r="AN99" s="535"/>
    </row>
    <row r="100" spans="1:47" s="536" customFormat="1" ht="12.75" customHeight="1">
      <c r="A100" s="538"/>
      <c r="B100" s="539"/>
      <c r="C100" s="539"/>
      <c r="D100" s="539"/>
      <c r="E100" s="2612"/>
      <c r="F100" s="2613"/>
      <c r="G100" s="2613"/>
      <c r="H100" s="2613"/>
      <c r="I100" s="2613"/>
      <c r="J100" s="2613"/>
      <c r="K100" s="2613"/>
      <c r="L100" s="2613"/>
      <c r="M100" s="2613"/>
      <c r="N100" s="2613"/>
      <c r="O100" s="2613"/>
      <c r="P100" s="2613"/>
      <c r="Q100" s="2613"/>
      <c r="R100" s="2613"/>
      <c r="S100" s="2613"/>
      <c r="T100" s="2613"/>
      <c r="U100" s="2613"/>
      <c r="V100" s="2613"/>
      <c r="W100" s="2613"/>
      <c r="X100" s="2613"/>
      <c r="Y100" s="2613"/>
      <c r="Z100" s="2613"/>
      <c r="AA100" s="2613"/>
      <c r="AB100" s="2613"/>
      <c r="AC100" s="2613"/>
      <c r="AD100" s="2613"/>
      <c r="AE100" s="2613"/>
      <c r="AF100" s="2613"/>
      <c r="AG100" s="2613"/>
      <c r="AH100" s="2613"/>
      <c r="AI100" s="2613"/>
      <c r="AJ100" s="2614"/>
      <c r="AK100" s="543"/>
      <c r="AL100" s="540"/>
      <c r="AM100" s="540"/>
      <c r="AN100" s="535"/>
    </row>
    <row r="101" spans="1:47" s="536" customFormat="1" ht="12.75" customHeight="1">
      <c r="A101" s="538"/>
      <c r="B101" s="539"/>
      <c r="C101" s="539"/>
      <c r="D101" s="539"/>
      <c r="E101" s="2612"/>
      <c r="F101" s="2613"/>
      <c r="G101" s="2613"/>
      <c r="H101" s="2613"/>
      <c r="I101" s="2613"/>
      <c r="J101" s="2613"/>
      <c r="K101" s="2613"/>
      <c r="L101" s="2613"/>
      <c r="M101" s="2613"/>
      <c r="N101" s="2613"/>
      <c r="O101" s="2613"/>
      <c r="P101" s="2613"/>
      <c r="Q101" s="2613"/>
      <c r="R101" s="2613"/>
      <c r="S101" s="2613"/>
      <c r="T101" s="2613"/>
      <c r="U101" s="2613"/>
      <c r="V101" s="2613"/>
      <c r="W101" s="2613"/>
      <c r="X101" s="2613"/>
      <c r="Y101" s="2613"/>
      <c r="Z101" s="2613"/>
      <c r="AA101" s="2613"/>
      <c r="AB101" s="2613"/>
      <c r="AC101" s="2613"/>
      <c r="AD101" s="2613"/>
      <c r="AE101" s="2613"/>
      <c r="AF101" s="2613"/>
      <c r="AG101" s="2613"/>
      <c r="AH101" s="2613"/>
      <c r="AI101" s="2613"/>
      <c r="AJ101" s="26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5">
        <f>Application!AC753</f>
        <v>0.55168539325842691</v>
      </c>
      <c r="F103" s="2606"/>
      <c r="G103" s="2606"/>
      <c r="H103" s="2606"/>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5">
        <f ca="1">SUMIF(Application!AC718:AG752,0.2,Application!G718:J752)/Application!G753+SUMIF(Application!AC718:AG752,0.25,Application!G718:J752)/Application!G753+SUMIF(Application!AC718:AG752,0.3,Application!G718:J752)/Application!G753</f>
        <v>0.12359550561797752</v>
      </c>
      <c r="F104" s="2606"/>
      <c r="G104" s="2606"/>
      <c r="H104" s="2606"/>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5">
        <f ca="1">SUMIF(Application!AC718:AG752,0.35,Application!G718:J752)/Application!G753+SUMIF(Application!AC718:AG752,0.4,Application!G718:J752)/Application!G753+SUMIF(Application!AC718:AG752,0.45,Application!G718:J752)/Application!G753+SUMIF(Application!AC718:AG752,0.5,Application!G718:J752)/Application!G753</f>
        <v>0.11235955056179775</v>
      </c>
      <c r="F105" s="2606"/>
      <c r="G105" s="2606"/>
      <c r="H105" s="2606"/>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3">
        <f ca="1">IF(AND(E103&lt;=0.6,OR(AND(E104&gt;=0.1,E105&gt;=0.1),AND(E104&gt;0.1,(E104+E105)&gt;=0.2))),20,0)</f>
        <v>20</v>
      </c>
      <c r="F106" s="2604"/>
      <c r="G106" s="2604"/>
      <c r="H106" s="2604"/>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90">
        <f ca="1">MAX(AP95,AP106)</f>
        <v>20</v>
      </c>
      <c r="AL109" s="2591"/>
      <c r="AM109" s="259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4" t="s">
        <v>1315</v>
      </c>
      <c r="AF112" s="2464"/>
      <c r="AG112" s="2464"/>
      <c r="AH112" s="2464"/>
      <c r="AI112" s="2464"/>
      <c r="AJ112" s="2464"/>
      <c r="AK112" s="2464"/>
      <c r="AL112" s="540"/>
      <c r="AM112" s="540"/>
      <c r="AN112" s="535"/>
      <c r="AO112" s="536" t="str">
        <f>Application!B718</f>
        <v>1 Bedroom</v>
      </c>
      <c r="AQ112" s="536">
        <f>Application!O718</f>
        <v>844</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1464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1774</v>
      </c>
    </row>
    <row r="115" spans="1:52" s="536" customFormat="1" ht="12.75" customHeight="1">
      <c r="A115" s="540"/>
      <c r="B115" s="2617" t="s">
        <v>546</v>
      </c>
      <c r="C115" s="2617"/>
      <c r="D115" s="547" t="s">
        <v>1316</v>
      </c>
      <c r="E115" s="2609" t="s">
        <v>1859</v>
      </c>
      <c r="F115" s="2610"/>
      <c r="G115" s="2610"/>
      <c r="H115" s="2610"/>
      <c r="I115" s="2610"/>
      <c r="J115" s="2610"/>
      <c r="K115" s="2610"/>
      <c r="L115" s="2610"/>
      <c r="M115" s="2610"/>
      <c r="N115" s="2610"/>
      <c r="O115" s="2610"/>
      <c r="P115" s="2610"/>
      <c r="Q115" s="2610"/>
      <c r="R115" s="2610"/>
      <c r="S115" s="2610"/>
      <c r="T115" s="2610"/>
      <c r="U115" s="2610"/>
      <c r="V115" s="2610"/>
      <c r="W115" s="2610"/>
      <c r="X115" s="2610"/>
      <c r="Y115" s="2610"/>
      <c r="Z115" s="2610"/>
      <c r="AA115" s="2610"/>
      <c r="AB115" s="2610"/>
      <c r="AC115" s="2610"/>
      <c r="AD115" s="2610"/>
      <c r="AE115" s="2610"/>
      <c r="AF115" s="2610"/>
      <c r="AG115" s="2610"/>
      <c r="AH115" s="2610"/>
      <c r="AI115" s="2610"/>
      <c r="AJ115" s="2611"/>
      <c r="AK115" s="540"/>
      <c r="AL115" s="540"/>
      <c r="AM115" s="540"/>
      <c r="AN115" s="535"/>
      <c r="AO115" s="536" t="str">
        <f>Application!B721</f>
        <v>2 Bedrooms</v>
      </c>
      <c r="AQ115" s="536">
        <f>Application!O721</f>
        <v>1002</v>
      </c>
      <c r="AU115" s="536" t="s">
        <v>1841</v>
      </c>
      <c r="AV115" s="595" t="s">
        <v>1842</v>
      </c>
      <c r="AW115" s="536" t="s">
        <v>1843</v>
      </c>
    </row>
    <row r="116" spans="1:52" s="536" customFormat="1" ht="12.75" customHeight="1">
      <c r="A116" s="540"/>
      <c r="B116" s="539"/>
      <c r="C116" s="539"/>
      <c r="D116" s="539"/>
      <c r="E116" s="2612"/>
      <c r="F116" s="2613"/>
      <c r="G116" s="2613"/>
      <c r="H116" s="2613"/>
      <c r="I116" s="2613"/>
      <c r="J116" s="2613"/>
      <c r="K116" s="2613"/>
      <c r="L116" s="2613"/>
      <c r="M116" s="2613"/>
      <c r="N116" s="2613"/>
      <c r="O116" s="2613"/>
      <c r="P116" s="2613"/>
      <c r="Q116" s="2613"/>
      <c r="R116" s="2613"/>
      <c r="S116" s="2613"/>
      <c r="T116" s="2613"/>
      <c r="U116" s="2613"/>
      <c r="V116" s="2613"/>
      <c r="W116" s="2613"/>
      <c r="X116" s="2613"/>
      <c r="Y116" s="2613"/>
      <c r="Z116" s="2613"/>
      <c r="AA116" s="2613"/>
      <c r="AB116" s="2613"/>
      <c r="AC116" s="2613"/>
      <c r="AD116" s="2613"/>
      <c r="AE116" s="2613"/>
      <c r="AF116" s="2613"/>
      <c r="AG116" s="2613"/>
      <c r="AH116" s="2613"/>
      <c r="AI116" s="2613"/>
      <c r="AJ116" s="2614"/>
      <c r="AK116" s="540"/>
      <c r="AL116" s="540"/>
      <c r="AM116" s="540"/>
      <c r="AN116" s="535"/>
      <c r="AO116" s="536" t="str">
        <f>Application!B722</f>
        <v>2 Bedrooms</v>
      </c>
      <c r="AQ116" s="536">
        <f>Application!O722</f>
        <v>1747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2"/>
      <c r="F117" s="2613"/>
      <c r="G117" s="2613"/>
      <c r="H117" s="2613"/>
      <c r="I117" s="2613"/>
      <c r="J117" s="2613"/>
      <c r="K117" s="2613"/>
      <c r="L117" s="2613"/>
      <c r="M117" s="2613"/>
      <c r="N117" s="2613"/>
      <c r="O117" s="2613"/>
      <c r="P117" s="2613"/>
      <c r="Q117" s="2613"/>
      <c r="R117" s="2613"/>
      <c r="S117" s="2613"/>
      <c r="T117" s="2613"/>
      <c r="U117" s="2613"/>
      <c r="V117" s="2613"/>
      <c r="W117" s="2613"/>
      <c r="X117" s="2613"/>
      <c r="Y117" s="2613"/>
      <c r="Z117" s="2613"/>
      <c r="AA117" s="2613"/>
      <c r="AB117" s="2613"/>
      <c r="AC117" s="2613"/>
      <c r="AD117" s="2613"/>
      <c r="AE117" s="2613"/>
      <c r="AF117" s="2613"/>
      <c r="AG117" s="2613"/>
      <c r="AH117" s="2613"/>
      <c r="AI117" s="2613"/>
      <c r="AJ117" s="2614"/>
      <c r="AK117" s="540"/>
      <c r="AL117" s="540"/>
      <c r="AM117" s="540"/>
      <c r="AN117" s="535"/>
      <c r="AO117" s="536" t="str">
        <f>Application!B723</f>
        <v>2 Bedrooms</v>
      </c>
      <c r="AQ117" s="536">
        <f>Application!O723</f>
        <v>2119</v>
      </c>
      <c r="AU117" s="856" t="str">
        <f>J124</f>
        <v>1-bedroom</v>
      </c>
      <c r="AV117" s="536">
        <f t="array" ref="AV117">SUM(IF(Application!B718:F752="1 Bedroom",Application!G718:J752))</f>
        <v>43</v>
      </c>
      <c r="AW117" s="1011">
        <f>AV117/AV122</f>
        <v>0.48314606741573035</v>
      </c>
    </row>
    <row r="118" spans="1:52" s="536" customFormat="1" ht="12.75" customHeight="1">
      <c r="A118" s="540"/>
      <c r="B118" s="539"/>
      <c r="C118" s="539"/>
      <c r="D118" s="539"/>
      <c r="E118" s="2612"/>
      <c r="F118" s="2613"/>
      <c r="G118" s="2613"/>
      <c r="H118" s="2613"/>
      <c r="I118" s="2613"/>
      <c r="J118" s="2613"/>
      <c r="K118" s="2613"/>
      <c r="L118" s="2613"/>
      <c r="M118" s="2613"/>
      <c r="N118" s="2613"/>
      <c r="O118" s="2613"/>
      <c r="P118" s="2613"/>
      <c r="Q118" s="2613"/>
      <c r="R118" s="2613"/>
      <c r="S118" s="2613"/>
      <c r="T118" s="2613"/>
      <c r="U118" s="2613"/>
      <c r="V118" s="2613"/>
      <c r="W118" s="2613"/>
      <c r="X118" s="2613"/>
      <c r="Y118" s="2613"/>
      <c r="Z118" s="2613"/>
      <c r="AA118" s="2613"/>
      <c r="AB118" s="2613"/>
      <c r="AC118" s="2613"/>
      <c r="AD118" s="2613"/>
      <c r="AE118" s="2613"/>
      <c r="AF118" s="2613"/>
      <c r="AG118" s="2613"/>
      <c r="AH118" s="2613"/>
      <c r="AI118" s="2613"/>
      <c r="AJ118" s="2614"/>
      <c r="AK118" s="540"/>
      <c r="AL118" s="540"/>
      <c r="AM118" s="540"/>
      <c r="AN118" s="535"/>
      <c r="AO118" s="536" t="str">
        <f>Application!B724</f>
        <v>3 Bedrooms</v>
      </c>
      <c r="AQ118" s="536">
        <f>Application!O724</f>
        <v>1144</v>
      </c>
      <c r="AU118" s="856" t="str">
        <f>O124</f>
        <v>2-bedroom</v>
      </c>
      <c r="AV118" s="536">
        <f t="array" ref="AV118">SUM(IF(Application!B718:F752="2 Bedrooms",Application!G718:J752))</f>
        <v>23</v>
      </c>
      <c r="AW118" s="1011">
        <f>AV118/AV122</f>
        <v>0.25842696629213485</v>
      </c>
    </row>
    <row r="119" spans="1:52" s="536" customFormat="1" ht="12.75" customHeight="1">
      <c r="A119" s="540"/>
      <c r="B119" s="539"/>
      <c r="C119" s="539"/>
      <c r="D119" s="539"/>
      <c r="E119" s="2612"/>
      <c r="F119" s="2613"/>
      <c r="G119" s="2613"/>
      <c r="H119" s="2613"/>
      <c r="I119" s="2613"/>
      <c r="J119" s="2613"/>
      <c r="K119" s="2613"/>
      <c r="L119" s="2613"/>
      <c r="M119" s="2613"/>
      <c r="N119" s="2613"/>
      <c r="O119" s="2613"/>
      <c r="P119" s="2613"/>
      <c r="Q119" s="2613"/>
      <c r="R119" s="2613"/>
      <c r="S119" s="2613"/>
      <c r="T119" s="2613"/>
      <c r="U119" s="2613"/>
      <c r="V119" s="2613"/>
      <c r="W119" s="2613"/>
      <c r="X119" s="2613"/>
      <c r="Y119" s="2613"/>
      <c r="Z119" s="2613"/>
      <c r="AA119" s="2613"/>
      <c r="AB119" s="2613"/>
      <c r="AC119" s="2613"/>
      <c r="AD119" s="2613"/>
      <c r="AE119" s="2613"/>
      <c r="AF119" s="2613"/>
      <c r="AG119" s="2613"/>
      <c r="AH119" s="2613"/>
      <c r="AI119" s="2613"/>
      <c r="AJ119" s="2614"/>
      <c r="AK119" s="540"/>
      <c r="AL119" s="540"/>
      <c r="AM119" s="540"/>
      <c r="AN119" s="535"/>
      <c r="AO119" s="536" t="str">
        <f>Application!B725</f>
        <v>3 Bedrooms</v>
      </c>
      <c r="AQ119" s="536">
        <f>Application!O725</f>
        <v>2004</v>
      </c>
      <c r="AU119" s="856" t="str">
        <f>T124</f>
        <v>3-bedroom</v>
      </c>
      <c r="AV119" s="536">
        <f t="array" ref="AV119">SUM(IF(Application!B718:F752="3 Bedrooms",Application!G718:J752))</f>
        <v>23</v>
      </c>
      <c r="AW119" s="1011">
        <f>AV119/AV122</f>
        <v>0.25842696629213485</v>
      </c>
    </row>
    <row r="120" spans="1:52" s="536" customFormat="1" ht="12.75" customHeight="1">
      <c r="A120" s="540"/>
      <c r="B120" s="539"/>
      <c r="C120" s="539"/>
      <c r="D120" s="539"/>
      <c r="E120" s="2612"/>
      <c r="F120" s="2613"/>
      <c r="G120" s="2613"/>
      <c r="H120" s="2613"/>
      <c r="I120" s="2613"/>
      <c r="J120" s="2613"/>
      <c r="K120" s="2613"/>
      <c r="L120" s="2613"/>
      <c r="M120" s="2613"/>
      <c r="N120" s="2613"/>
      <c r="O120" s="2613"/>
      <c r="P120" s="2613"/>
      <c r="Q120" s="2613"/>
      <c r="R120" s="2613"/>
      <c r="S120" s="2613"/>
      <c r="T120" s="2613"/>
      <c r="U120" s="2613"/>
      <c r="V120" s="2613"/>
      <c r="W120" s="2613"/>
      <c r="X120" s="2613"/>
      <c r="Y120" s="2613"/>
      <c r="Z120" s="2613"/>
      <c r="AA120" s="2613"/>
      <c r="AB120" s="2613"/>
      <c r="AC120" s="2613"/>
      <c r="AD120" s="2613"/>
      <c r="AE120" s="2613"/>
      <c r="AF120" s="2613"/>
      <c r="AG120" s="2613"/>
      <c r="AH120" s="2613"/>
      <c r="AI120" s="2613"/>
      <c r="AJ120" s="2614"/>
      <c r="AK120" s="540"/>
      <c r="AL120" s="540"/>
      <c r="AM120" s="540"/>
      <c r="AN120" s="535"/>
      <c r="AO120" s="536" t="str">
        <f>Application!B726</f>
        <v>3 Bedrooms</v>
      </c>
      <c r="AQ120" s="536">
        <f>Application!O726</f>
        <v>2434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2"/>
      <c r="F121" s="2613"/>
      <c r="G121" s="2613"/>
      <c r="H121" s="2613"/>
      <c r="I121" s="2613"/>
      <c r="J121" s="2613"/>
      <c r="K121" s="2613"/>
      <c r="L121" s="2613"/>
      <c r="M121" s="2613"/>
      <c r="N121" s="2613"/>
      <c r="O121" s="2613"/>
      <c r="P121" s="2613"/>
      <c r="Q121" s="2613"/>
      <c r="R121" s="2613"/>
      <c r="S121" s="2613"/>
      <c r="T121" s="2613"/>
      <c r="U121" s="2613"/>
      <c r="V121" s="2613"/>
      <c r="W121" s="2613"/>
      <c r="X121" s="2613"/>
      <c r="Y121" s="2613"/>
      <c r="Z121" s="2613"/>
      <c r="AA121" s="2613"/>
      <c r="AB121" s="2613"/>
      <c r="AC121" s="2613"/>
      <c r="AD121" s="2613"/>
      <c r="AE121" s="2613"/>
      <c r="AF121" s="2613"/>
      <c r="AG121" s="2613"/>
      <c r="AH121" s="2613"/>
      <c r="AI121" s="2613"/>
      <c r="AJ121" s="26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2"/>
      <c r="F122" s="2613"/>
      <c r="G122" s="2613"/>
      <c r="H122" s="2613"/>
      <c r="I122" s="2613"/>
      <c r="J122" s="2613"/>
      <c r="K122" s="2613"/>
      <c r="L122" s="2613"/>
      <c r="M122" s="2613"/>
      <c r="N122" s="2613"/>
      <c r="O122" s="2613"/>
      <c r="P122" s="2613"/>
      <c r="Q122" s="2613"/>
      <c r="R122" s="2613"/>
      <c r="S122" s="2613"/>
      <c r="T122" s="2613"/>
      <c r="U122" s="2613"/>
      <c r="V122" s="2613"/>
      <c r="W122" s="2613"/>
      <c r="X122" s="2613"/>
      <c r="Y122" s="2613"/>
      <c r="Z122" s="2613"/>
      <c r="AA122" s="2613"/>
      <c r="AB122" s="2613"/>
      <c r="AC122" s="2613"/>
      <c r="AD122" s="2613"/>
      <c r="AE122" s="2613"/>
      <c r="AF122" s="2613"/>
      <c r="AG122" s="2613"/>
      <c r="AH122" s="2613"/>
      <c r="AI122" s="2613"/>
      <c r="AJ122" s="2614"/>
      <c r="AK122" s="540"/>
      <c r="AL122" s="540"/>
      <c r="AM122" s="540"/>
      <c r="AN122" s="535"/>
      <c r="AO122" s="536">
        <f>Application!B728</f>
        <v>0</v>
      </c>
      <c r="AQ122" s="536">
        <f>Application!O728</f>
        <v>0</v>
      </c>
      <c r="AV122" s="536">
        <f>SUM(AV116:AV121)</f>
        <v>89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5" t="s">
        <v>1589</v>
      </c>
      <c r="F124" s="2606"/>
      <c r="G124" s="2606"/>
      <c r="H124" s="2606"/>
      <c r="I124" s="577"/>
      <c r="J124" s="2606" t="s">
        <v>1632</v>
      </c>
      <c r="K124" s="2606"/>
      <c r="L124" s="2606"/>
      <c r="M124" s="2606"/>
      <c r="N124" s="577"/>
      <c r="O124" s="2606" t="s">
        <v>1633</v>
      </c>
      <c r="P124" s="2606"/>
      <c r="Q124" s="2606"/>
      <c r="R124" s="2606"/>
      <c r="S124" s="577"/>
      <c r="T124" s="2606" t="s">
        <v>1335</v>
      </c>
      <c r="U124" s="2606"/>
      <c r="V124" s="2606"/>
      <c r="W124" s="2606"/>
      <c r="X124" s="577"/>
      <c r="Y124" s="2606" t="s">
        <v>1634</v>
      </c>
      <c r="Z124" s="2606"/>
      <c r="AA124" s="2606"/>
      <c r="AB124" s="2606"/>
      <c r="AC124" s="577"/>
      <c r="AD124" s="2606" t="s">
        <v>1635</v>
      </c>
      <c r="AE124" s="2606"/>
      <c r="AF124" s="2606"/>
      <c r="AG124" s="260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7"/>
      <c r="F127" s="2608"/>
      <c r="G127" s="2608"/>
      <c r="H127" s="2608"/>
      <c r="I127" s="864"/>
      <c r="J127" s="2608">
        <v>2520</v>
      </c>
      <c r="K127" s="2608"/>
      <c r="L127" s="2608"/>
      <c r="M127" s="2608"/>
      <c r="N127" s="864"/>
      <c r="O127" s="2608">
        <v>3144</v>
      </c>
      <c r="P127" s="2608"/>
      <c r="Q127" s="2608"/>
      <c r="R127" s="2608"/>
      <c r="S127" s="864"/>
      <c r="T127" s="2608">
        <v>3926</v>
      </c>
      <c r="U127" s="2608"/>
      <c r="V127" s="2608"/>
      <c r="W127" s="2608"/>
      <c r="X127" s="864"/>
      <c r="Y127" s="2608"/>
      <c r="Z127" s="2608"/>
      <c r="AA127" s="2608"/>
      <c r="AB127" s="2608"/>
      <c r="AC127" s="864"/>
      <c r="AD127" s="2608"/>
      <c r="AE127" s="2608"/>
      <c r="AF127" s="2608"/>
      <c r="AG127" s="260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5">
        <f>Application!DX670</f>
        <v>0</v>
      </c>
      <c r="F130" s="2616"/>
      <c r="G130" s="2616"/>
      <c r="H130" s="2616"/>
      <c r="I130" s="864"/>
      <c r="J130" s="2616">
        <f>Application!EC670</f>
        <v>1637.0232558139533</v>
      </c>
      <c r="K130" s="2616"/>
      <c r="L130" s="2616"/>
      <c r="M130" s="2616"/>
      <c r="N130" s="864"/>
      <c r="O130" s="2616">
        <f>Application!EH670</f>
        <v>1924.782608695652</v>
      </c>
      <c r="P130" s="2616"/>
      <c r="Q130" s="2616"/>
      <c r="R130" s="2616"/>
      <c r="S130" s="868"/>
      <c r="T130" s="2616">
        <f>Application!EM670</f>
        <v>2209.6521739130435</v>
      </c>
      <c r="U130" s="2616"/>
      <c r="V130" s="2616"/>
      <c r="W130" s="2616"/>
      <c r="X130" s="868"/>
      <c r="Y130" s="2616">
        <f>Application!ER670</f>
        <v>0</v>
      </c>
      <c r="Z130" s="2616"/>
      <c r="AA130" s="2616"/>
      <c r="AB130" s="2616"/>
      <c r="AC130" s="868"/>
      <c r="AD130" s="2616">
        <f>Application!EW670</f>
        <v>0</v>
      </c>
      <c r="AE130" s="2616"/>
      <c r="AF130" s="2616"/>
      <c r="AG130" s="261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0" t="e">
        <f>(E127-E130)/E127</f>
        <v>#DIV/0!</v>
      </c>
      <c r="F133" s="2411"/>
      <c r="G133" s="2411"/>
      <c r="H133" s="2412"/>
      <c r="I133" s="577"/>
      <c r="J133" s="2410">
        <f>(J127-J130)/J127</f>
        <v>0.35038759689922488</v>
      </c>
      <c r="K133" s="2411"/>
      <c r="L133" s="2411"/>
      <c r="M133" s="2412"/>
      <c r="N133" s="577"/>
      <c r="O133" s="2410">
        <f>(O127-O130)/O127</f>
        <v>0.38779179112733714</v>
      </c>
      <c r="P133" s="2411"/>
      <c r="Q133" s="2411"/>
      <c r="R133" s="2412"/>
      <c r="S133" s="577"/>
      <c r="T133" s="2410">
        <f>(T127-T130)/T127</f>
        <v>0.43717468825444639</v>
      </c>
      <c r="U133" s="2411"/>
      <c r="V133" s="2411"/>
      <c r="W133" s="2412"/>
      <c r="X133" s="577"/>
      <c r="Y133" s="2410" t="e">
        <f>(Y127-Y130)/Y127</f>
        <v>#DIV/0!</v>
      </c>
      <c r="Z133" s="2411"/>
      <c r="AA133" s="2411"/>
      <c r="AB133" s="2412"/>
      <c r="AC133" s="577"/>
      <c r="AD133" s="2410" t="e">
        <f>(AD127-AD130)/AD127</f>
        <v>#DIV/0!</v>
      </c>
      <c r="AE133" s="2411"/>
      <c r="AF133" s="2411"/>
      <c r="AG133" s="241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8" t="e">
        <f>IF(((E133-0.1)*AW116)&gt;0,((E133-0.1)*AW116),0)</f>
        <v>#DIV/0!</v>
      </c>
      <c r="F136" s="2619"/>
      <c r="G136" s="2619"/>
      <c r="H136" s="2620"/>
      <c r="I136" s="577"/>
      <c r="J136" s="2618">
        <f>IF(((J133-0.1)*AW117)&gt;0,((J133-0.1)*AW117),0)</f>
        <v>0.1209737827715356</v>
      </c>
      <c r="K136" s="2619"/>
      <c r="L136" s="2619"/>
      <c r="M136" s="2620"/>
      <c r="N136" s="577"/>
      <c r="O136" s="2618">
        <f>IF(((O133-0.1)*AW118)&gt;0,((O133-0.1)*AW118),0)</f>
        <v>7.437315950481746E-2</v>
      </c>
      <c r="P136" s="2619"/>
      <c r="Q136" s="2619"/>
      <c r="R136" s="2620"/>
      <c r="S136" s="577"/>
      <c r="T136" s="2618">
        <f>IF(((T133-0.1)*AW119)&gt;0,((T133-0.1)*AW119),0)</f>
        <v>8.7135031796092902E-2</v>
      </c>
      <c r="U136" s="2619"/>
      <c r="V136" s="2619"/>
      <c r="W136" s="2620"/>
      <c r="X136" s="577"/>
      <c r="Y136" s="2618" t="e">
        <f>IF(((Y133-0.1)*AW120)&gt;0,((Y133-0.1)*AW120),0)</f>
        <v>#DIV/0!</v>
      </c>
      <c r="Z136" s="2619"/>
      <c r="AA136" s="2619"/>
      <c r="AB136" s="2620"/>
      <c r="AC136" s="577"/>
      <c r="AD136" s="2618" t="e">
        <f>IF(((AD133-0.1)*AW121)&gt;0,((AD133-0.1)*AW121),0)</f>
        <v>#DIV/0!</v>
      </c>
      <c r="AE136" s="2619"/>
      <c r="AF136" s="2619"/>
      <c r="AG136" s="262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0">
        <f>ROUNDDOWN(SUMIF(E136:AG136,"&gt;0"),2)</f>
        <v>0.28000000000000003</v>
      </c>
      <c r="F138" s="2411"/>
      <c r="G138" s="2411"/>
      <c r="H138" s="2412"/>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0">
        <f>IF((E138*100)&gt;10,10,E138*100)</f>
        <v>10</v>
      </c>
      <c r="F139" s="2591"/>
      <c r="G139" s="2591"/>
      <c r="H139" s="2592"/>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90">
        <f>E139</f>
        <v>10</v>
      </c>
      <c r="AL143" s="2591"/>
      <c r="AM143" s="259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64" t="s">
        <v>1315</v>
      </c>
      <c r="AF146" s="2464"/>
      <c r="AG146" s="2464"/>
      <c r="AH146" s="2464"/>
      <c r="AI146" s="2464"/>
      <c r="AJ146" s="2464"/>
      <c r="AK146" s="2464"/>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4" t="s">
        <v>1339</v>
      </c>
      <c r="AG148" s="2524"/>
      <c r="AH148" s="2524"/>
      <c r="AI148" s="2524"/>
      <c r="AJ148" s="2524"/>
      <c r="AK148" s="2524"/>
      <c r="AL148" s="2524"/>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4" t="s">
        <v>2736</v>
      </c>
      <c r="C150" s="2594"/>
      <c r="D150" s="2594"/>
      <c r="E150" s="2594"/>
      <c r="F150" s="2594"/>
      <c r="G150" s="2594"/>
      <c r="H150" s="2594"/>
      <c r="I150" s="2594"/>
      <c r="J150" s="2594"/>
      <c r="K150" s="2594"/>
      <c r="L150" s="2594"/>
      <c r="M150" s="2594"/>
      <c r="N150" s="2594"/>
      <c r="O150" s="2594"/>
      <c r="P150" s="2594"/>
      <c r="Q150" s="2594"/>
      <c r="R150" s="2594"/>
      <c r="S150" s="2594"/>
      <c r="T150" s="2594"/>
      <c r="U150" s="2594"/>
      <c r="V150" s="2594"/>
      <c r="W150" s="2594"/>
      <c r="X150" s="2594"/>
      <c r="Y150" s="2594"/>
      <c r="Z150" s="2594"/>
      <c r="AA150" s="2594"/>
      <c r="AB150" s="2594"/>
      <c r="AC150" s="259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5" t="s">
        <v>1342</v>
      </c>
      <c r="C153" s="2595"/>
      <c r="D153" s="2595"/>
      <c r="E153" s="2595"/>
      <c r="F153" s="2595"/>
      <c r="G153" s="2595"/>
      <c r="H153" s="2595"/>
      <c r="I153" s="2595"/>
      <c r="J153" s="2595"/>
      <c r="K153" s="2595"/>
      <c r="L153" s="2595"/>
      <c r="M153" s="2595"/>
      <c r="N153" s="2595"/>
      <c r="O153" s="2595"/>
      <c r="P153" s="2595"/>
      <c r="Q153" s="2595"/>
      <c r="R153" s="2595"/>
      <c r="S153" s="2595"/>
      <c r="T153" s="2595"/>
      <c r="U153" s="2595"/>
      <c r="V153" s="2595"/>
      <c r="W153" s="2595"/>
      <c r="X153" s="2595"/>
      <c r="Y153" s="2595"/>
      <c r="Z153" s="2595"/>
      <c r="AA153" s="2595"/>
      <c r="AB153" s="2595"/>
      <c r="AC153" s="2595"/>
      <c r="AD153" s="2595"/>
      <c r="AE153" s="2595"/>
      <c r="AF153" s="2595"/>
      <c r="AG153" s="2595"/>
      <c r="AH153" s="2595"/>
      <c r="AI153" s="2595"/>
      <c r="AM153" s="539"/>
      <c r="AN153" s="535"/>
      <c r="AO153" s="476" t="s">
        <v>1342</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6" t="s">
        <v>592</v>
      </c>
      <c r="AC155" s="239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5" t="s">
        <v>1344</v>
      </c>
      <c r="C158" s="2595"/>
      <c r="D158" s="2595"/>
      <c r="E158" s="2595"/>
      <c r="F158" s="2595"/>
      <c r="G158" s="2595"/>
      <c r="H158" s="2595"/>
      <c r="I158" s="2595"/>
      <c r="J158" s="2595"/>
      <c r="K158" s="2595"/>
      <c r="L158" s="2595"/>
      <c r="M158" s="2595"/>
      <c r="N158" s="2595"/>
      <c r="O158" s="2595"/>
      <c r="P158" s="2595"/>
      <c r="Q158" s="2595"/>
      <c r="R158" s="2595"/>
      <c r="S158" s="2595"/>
      <c r="T158" s="2595"/>
      <c r="U158" s="2595"/>
      <c r="V158" s="2595"/>
      <c r="W158" s="2595"/>
      <c r="X158" s="2595"/>
      <c r="Y158" s="2595"/>
      <c r="Z158" s="2595"/>
      <c r="AA158" s="2595"/>
      <c r="AB158" s="2595"/>
      <c r="AC158" s="2595"/>
      <c r="AD158" s="2595"/>
      <c r="AE158" s="2595"/>
      <c r="AF158" s="2595"/>
      <c r="AG158" s="2595"/>
      <c r="AH158" s="2595"/>
      <c r="AI158" s="2595"/>
      <c r="AJ158" s="2595"/>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3" t="s">
        <v>2478</v>
      </c>
      <c r="C161" s="2393"/>
      <c r="D161" s="2393"/>
      <c r="E161" s="2393"/>
      <c r="F161" s="2393"/>
      <c r="G161" s="2393"/>
      <c r="H161" s="2393"/>
      <c r="I161" s="2393"/>
      <c r="J161" s="2393"/>
      <c r="K161" s="2393"/>
      <c r="L161" s="2393"/>
      <c r="M161" s="2393"/>
      <c r="N161" s="2393"/>
      <c r="O161" s="2393"/>
      <c r="P161" s="2393"/>
      <c r="Q161" s="2393"/>
      <c r="R161" s="2393"/>
      <c r="S161" s="2393"/>
      <c r="T161" s="2393"/>
      <c r="U161" s="2393"/>
      <c r="V161" s="2393"/>
      <c r="W161" s="2393"/>
      <c r="X161" s="2393"/>
      <c r="Y161" s="2393"/>
      <c r="Z161" s="2393"/>
      <c r="AA161" s="2393"/>
      <c r="AB161" s="2393"/>
      <c r="AC161" s="2393"/>
      <c r="AD161" s="2393"/>
      <c r="AE161" s="2393"/>
      <c r="AF161" s="2393"/>
      <c r="AG161" s="2393"/>
      <c r="AH161" s="2393"/>
      <c r="AI161" s="2393"/>
      <c r="AJ161" s="2393"/>
      <c r="AK161" s="1180"/>
      <c r="AM161" s="539"/>
      <c r="AN161" s="535"/>
      <c r="AO161" s="476"/>
      <c r="AP161" s="489"/>
    </row>
    <row r="162" spans="1:42" s="536" customFormat="1" ht="12.75" customHeight="1">
      <c r="B162" s="2393"/>
      <c r="C162" s="2393"/>
      <c r="D162" s="2393"/>
      <c r="E162" s="2393"/>
      <c r="F162" s="2393"/>
      <c r="G162" s="2393"/>
      <c r="H162" s="2393"/>
      <c r="I162" s="2393"/>
      <c r="J162" s="2393"/>
      <c r="K162" s="2393"/>
      <c r="L162" s="2393"/>
      <c r="M162" s="2393"/>
      <c r="N162" s="2393"/>
      <c r="O162" s="2393"/>
      <c r="P162" s="2393"/>
      <c r="Q162" s="2393"/>
      <c r="R162" s="2393"/>
      <c r="S162" s="2393"/>
      <c r="T162" s="2393"/>
      <c r="U162" s="2393"/>
      <c r="V162" s="2393"/>
      <c r="W162" s="2393"/>
      <c r="X162" s="2393"/>
      <c r="Y162" s="2393"/>
      <c r="Z162" s="2393"/>
      <c r="AA162" s="2393"/>
      <c r="AB162" s="2393"/>
      <c r="AC162" s="2393"/>
      <c r="AD162" s="2393"/>
      <c r="AE162" s="2393"/>
      <c r="AF162" s="2393"/>
      <c r="AG162" s="2393"/>
      <c r="AH162" s="2393"/>
      <c r="AI162" s="2393"/>
      <c r="AJ162" s="2393"/>
      <c r="AK162" s="1180"/>
      <c r="AM162" s="539"/>
      <c r="AN162" s="535"/>
      <c r="AO162" s="476"/>
      <c r="AP162" s="489"/>
    </row>
    <row r="163" spans="1:42" s="536" customFormat="1" ht="12.75" customHeight="1">
      <c r="C163" s="2394" t="s">
        <v>2479</v>
      </c>
      <c r="D163" s="2394"/>
      <c r="E163" s="2394"/>
      <c r="F163" s="2394"/>
      <c r="G163" s="2394"/>
      <c r="H163" s="2394"/>
      <c r="I163" s="2394"/>
      <c r="J163" s="2394"/>
      <c r="K163" s="2394"/>
      <c r="L163" s="2394"/>
      <c r="M163" s="2394"/>
      <c r="N163" s="2394"/>
      <c r="O163" s="2394"/>
      <c r="P163" s="2394"/>
      <c r="Q163" s="2394"/>
      <c r="R163" s="2394"/>
      <c r="S163" s="2394"/>
      <c r="T163" s="2394"/>
      <c r="U163" s="2394"/>
      <c r="V163" s="2394"/>
      <c r="W163" s="2394"/>
      <c r="X163" s="2394"/>
      <c r="Y163" s="2394"/>
      <c r="Z163" s="2394"/>
      <c r="AA163" s="2394"/>
      <c r="AB163" s="2394"/>
      <c r="AC163" s="2394"/>
      <c r="AD163" s="2394"/>
      <c r="AE163" s="2394"/>
      <c r="AF163" s="2394"/>
      <c r="AG163" s="2394"/>
      <c r="AH163" s="2394"/>
      <c r="AI163" s="2394"/>
      <c r="AJ163" s="2394"/>
      <c r="AK163" s="1180"/>
      <c r="AM163" s="539"/>
      <c r="AN163" s="535"/>
      <c r="AO163" s="476"/>
      <c r="AP163" s="489"/>
    </row>
    <row r="164" spans="1:42" s="536" customFormat="1" ht="12.75" customHeight="1">
      <c r="B164" s="1180"/>
      <c r="C164" s="2395" t="s">
        <v>2477</v>
      </c>
      <c r="D164" s="2395"/>
      <c r="E164" s="2395"/>
      <c r="F164" s="2395"/>
      <c r="G164" s="2395"/>
      <c r="H164" s="2395"/>
      <c r="I164" s="2395"/>
      <c r="J164" s="2395"/>
      <c r="K164" s="2395"/>
      <c r="L164" s="2395"/>
      <c r="M164" s="2395"/>
      <c r="N164" s="2395"/>
      <c r="O164" s="2395"/>
      <c r="P164" s="2395"/>
      <c r="Q164" s="2395"/>
      <c r="R164" s="2395"/>
      <c r="S164" s="2395"/>
      <c r="T164" s="2395"/>
      <c r="U164" s="2395"/>
      <c r="V164" s="2395"/>
      <c r="W164" s="2395"/>
      <c r="X164" s="2395"/>
      <c r="Y164" s="2395"/>
      <c r="Z164" s="2395"/>
      <c r="AA164" s="1170"/>
      <c r="AB164" s="1170"/>
      <c r="AC164" s="1170"/>
      <c r="AD164" s="1170"/>
      <c r="AE164" s="1170"/>
      <c r="AF164" s="1170"/>
      <c r="AG164" s="1170"/>
      <c r="AH164" s="1170"/>
      <c r="AJ164" s="2396" t="s">
        <v>592</v>
      </c>
      <c r="AK164" s="239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4">
        <f>IF($AB$155="N/A",VLOOKUP($B$153,$AO$151:$AP$154,2,FALSE),VLOOKUP($B$158,$AO$156:$AP$158,2,FALSE))</f>
        <v>7</v>
      </c>
      <c r="AK166" s="248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4" t="s">
        <v>1353</v>
      </c>
      <c r="AG168" s="2524"/>
      <c r="AH168" s="2524"/>
      <c r="AI168" s="2524"/>
      <c r="AJ168" s="2524"/>
      <c r="AK168" s="2524"/>
      <c r="AL168" s="2524"/>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5" t="s">
        <v>1351</v>
      </c>
      <c r="D170" s="2595"/>
      <c r="E170" s="2595"/>
      <c r="F170" s="2595"/>
      <c r="G170" s="2595"/>
      <c r="H170" s="2595"/>
      <c r="I170" s="2595"/>
      <c r="J170" s="2595"/>
      <c r="K170" s="2595"/>
      <c r="L170" s="2595"/>
      <c r="M170" s="2595"/>
      <c r="N170" s="2595"/>
      <c r="O170" s="2595"/>
      <c r="P170" s="2595"/>
      <c r="Q170" s="2595"/>
      <c r="R170" s="2595"/>
      <c r="S170" s="2595"/>
      <c r="T170" s="2595"/>
      <c r="U170" s="2595"/>
      <c r="V170" s="2595"/>
      <c r="W170" s="2595"/>
      <c r="X170" s="2595"/>
      <c r="Y170" s="2595"/>
      <c r="Z170" s="2595"/>
      <c r="AA170" s="2595"/>
      <c r="AB170" s="2595"/>
      <c r="AC170" s="2595"/>
      <c r="AD170" s="2595"/>
      <c r="AE170" s="2595"/>
      <c r="AF170" s="2595"/>
      <c r="AG170" s="2595"/>
      <c r="AH170" s="2595"/>
      <c r="AI170" s="2595"/>
      <c r="AJ170" s="536"/>
      <c r="AK170" s="536"/>
      <c r="AL170" s="536"/>
      <c r="AM170" s="603"/>
      <c r="AN170" s="597"/>
      <c r="AO170" s="476" t="s">
        <v>307</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6" t="s">
        <v>592</v>
      </c>
      <c r="AG172" s="2396"/>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5" t="s">
        <v>1344</v>
      </c>
      <c r="D174" s="2595"/>
      <c r="E174" s="2595"/>
      <c r="F174" s="2595"/>
      <c r="G174" s="2595"/>
      <c r="H174" s="2595"/>
      <c r="I174" s="2595"/>
      <c r="J174" s="2595"/>
      <c r="K174" s="2595"/>
      <c r="L174" s="2595"/>
      <c r="M174" s="2595"/>
      <c r="N174" s="2595"/>
      <c r="O174" s="2595"/>
      <c r="P174" s="2595"/>
      <c r="Q174" s="2595"/>
      <c r="R174" s="2595"/>
      <c r="S174" s="2595"/>
      <c r="T174" s="2595"/>
      <c r="U174" s="2595"/>
      <c r="V174" s="2595"/>
      <c r="W174" s="2595"/>
      <c r="X174" s="2595"/>
      <c r="Y174" s="2595"/>
      <c r="Z174" s="2595"/>
      <c r="AA174" s="2595"/>
      <c r="AB174" s="2595"/>
      <c r="AC174" s="2595"/>
      <c r="AD174" s="2595"/>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6" t="str">
        <f>Application!AA335</f>
        <v>ConAm Management Corporation</v>
      </c>
      <c r="D178" s="2596"/>
      <c r="E178" s="2596"/>
      <c r="F178" s="2596"/>
      <c r="G178" s="2596"/>
      <c r="H178" s="2596"/>
      <c r="I178" s="2596"/>
      <c r="J178" s="2596"/>
      <c r="K178" s="2596"/>
      <c r="L178" s="2596"/>
      <c r="M178" s="2596"/>
      <c r="N178" s="2596"/>
      <c r="O178" s="2596"/>
      <c r="P178" s="2596"/>
      <c r="Q178" s="2596"/>
      <c r="R178" s="2596"/>
      <c r="S178" s="2596"/>
      <c r="T178" s="2596"/>
      <c r="U178" s="2596"/>
      <c r="V178" s="2596"/>
      <c r="W178" s="2596"/>
      <c r="X178" s="2596"/>
      <c r="Y178" s="2596"/>
      <c r="Z178" s="2596"/>
      <c r="AA178" s="2596"/>
      <c r="AB178" s="2596"/>
      <c r="AC178" s="2596"/>
      <c r="AD178" s="2596"/>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83">
        <f>IF($AF$172="N/A",VLOOKUP($C$170,$AO$170:$AP$173,2,FALSE),VLOOKUP($C$174,$AO$177:$AP$179,2,FALSE))</f>
        <v>3</v>
      </c>
      <c r="AK180" s="248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90">
        <f>$AJ$166+$AJ$180</f>
        <v>10</v>
      </c>
      <c r="AL183" s="2591"/>
      <c r="AM183" s="259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4" t="s">
        <v>1315</v>
      </c>
      <c r="AF186" s="2464"/>
      <c r="AG186" s="2464"/>
      <c r="AH186" s="2464"/>
      <c r="AI186" s="2464"/>
      <c r="AJ186" s="2464"/>
      <c r="AK186" s="2464"/>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93" t="s">
        <v>1042</v>
      </c>
      <c r="C188" s="2593"/>
      <c r="D188" s="2593"/>
      <c r="E188" s="2593"/>
      <c r="F188" s="2593"/>
      <c r="G188" s="2593"/>
      <c r="H188" s="2593"/>
      <c r="I188" s="2593"/>
      <c r="J188" s="2593"/>
      <c r="K188" s="2593"/>
      <c r="L188" s="2593"/>
      <c r="M188" s="2593"/>
      <c r="N188" s="2593"/>
      <c r="O188" s="2593"/>
      <c r="P188" s="2593"/>
      <c r="Q188" s="2593"/>
      <c r="R188" s="2593"/>
      <c r="S188" s="2593"/>
      <c r="T188" s="2593"/>
      <c r="U188" s="2593"/>
      <c r="V188" s="2593"/>
      <c r="W188" s="2593"/>
      <c r="X188" s="2593"/>
      <c r="Y188" s="2593"/>
      <c r="Z188" s="2593"/>
      <c r="AA188" s="2593"/>
      <c r="AB188" s="2593"/>
      <c r="AC188" s="2593"/>
      <c r="AD188" s="536"/>
      <c r="AE188" s="536"/>
      <c r="AF188" s="2524" t="s">
        <v>1364</v>
      </c>
      <c r="AG188" s="2524"/>
      <c r="AH188" s="2524"/>
      <c r="AI188" s="2524"/>
      <c r="AJ188" s="2524"/>
      <c r="AK188" s="2524"/>
      <c r="AL188" s="2524"/>
      <c r="AN188" s="597"/>
      <c r="AP188" s="550" t="s">
        <v>1044</v>
      </c>
      <c r="AQ188" s="550">
        <v>10</v>
      </c>
    </row>
    <row r="189" spans="1:73" s="550" customFormat="1" ht="12.75" customHeight="1">
      <c r="A189" s="536"/>
      <c r="B189" s="2395" t="s">
        <v>1727</v>
      </c>
      <c r="C189" s="2395"/>
      <c r="D189" s="2395"/>
      <c r="E189" s="2395"/>
      <c r="F189" s="2395"/>
      <c r="G189" s="2395"/>
      <c r="H189" s="2395"/>
      <c r="I189" s="2395"/>
      <c r="J189" s="2395"/>
      <c r="K189" s="2395"/>
      <c r="L189" s="2395"/>
      <c r="M189" s="2395"/>
      <c r="N189" s="2395"/>
      <c r="O189" s="2395"/>
      <c r="P189" s="2395"/>
      <c r="Q189" s="2395"/>
      <c r="R189" s="2395"/>
      <c r="S189" s="2395"/>
      <c r="T189" s="2594" t="s">
        <v>592</v>
      </c>
      <c r="U189" s="2594"/>
      <c r="V189" s="2594"/>
      <c r="W189" s="2594"/>
      <c r="X189" s="2594"/>
      <c r="Y189" s="2594"/>
      <c r="Z189" s="2594"/>
      <c r="AA189" s="2594"/>
      <c r="AB189" s="2594"/>
      <c r="AC189" s="2594"/>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31">
        <f>IF(AK84&gt;0,VLOOKUP($B$188,AP185:AQ191,2,FALSE),0)</f>
        <v>10</v>
      </c>
      <c r="AL191" s="2432"/>
      <c r="AM191" s="2433"/>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4" t="s">
        <v>1373</v>
      </c>
      <c r="AF194" s="2464"/>
      <c r="AG194" s="2464"/>
      <c r="AH194" s="2464"/>
      <c r="AI194" s="2464"/>
      <c r="AJ194" s="2464"/>
      <c r="AK194" s="2464"/>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7" t="s">
        <v>2742</v>
      </c>
      <c r="C199" s="2587"/>
      <c r="D199" s="2587"/>
      <c r="E199" s="2587"/>
      <c r="F199" s="2587"/>
      <c r="G199" s="2587"/>
      <c r="H199" s="2587"/>
      <c r="I199" s="2587"/>
      <c r="J199" s="2587"/>
      <c r="K199" s="2587"/>
      <c r="L199" s="2587"/>
      <c r="M199" s="2587"/>
      <c r="N199" s="2587"/>
      <c r="O199" s="2587"/>
      <c r="P199" s="2587"/>
      <c r="Q199" s="2587"/>
      <c r="R199" s="2587"/>
      <c r="S199" s="2587"/>
      <c r="T199" s="2587"/>
      <c r="U199" s="2587"/>
      <c r="V199" s="2587"/>
      <c r="W199" s="2587"/>
      <c r="X199" s="2587"/>
      <c r="Y199" s="2587"/>
      <c r="Z199" s="2587"/>
      <c r="AA199" s="2587"/>
      <c r="AB199" s="2587"/>
      <c r="AC199" s="846"/>
      <c r="AD199" s="2577">
        <v>3000000</v>
      </c>
      <c r="AE199" s="2577"/>
      <c r="AF199" s="2577"/>
      <c r="AG199" s="2577"/>
      <c r="AH199" s="2577"/>
      <c r="AI199" s="2577"/>
      <c r="AJ199" s="2577"/>
      <c r="AK199" s="610"/>
    </row>
    <row r="200" spans="1:40">
      <c r="A200" s="605"/>
      <c r="B200" s="2587"/>
      <c r="C200" s="2587"/>
      <c r="D200" s="2587"/>
      <c r="E200" s="2587"/>
      <c r="F200" s="2587"/>
      <c r="G200" s="2587"/>
      <c r="H200" s="2587"/>
      <c r="I200" s="2587"/>
      <c r="J200" s="2587"/>
      <c r="K200" s="2587"/>
      <c r="L200" s="2587"/>
      <c r="M200" s="2587"/>
      <c r="N200" s="2587"/>
      <c r="O200" s="2587"/>
      <c r="P200" s="2587"/>
      <c r="Q200" s="2587"/>
      <c r="R200" s="2587"/>
      <c r="S200" s="2587"/>
      <c r="T200" s="2587"/>
      <c r="U200" s="2587"/>
      <c r="V200" s="2587"/>
      <c r="W200" s="2587"/>
      <c r="X200" s="2587"/>
      <c r="Y200" s="2587"/>
      <c r="Z200" s="2587"/>
      <c r="AA200" s="2587"/>
      <c r="AB200" s="2587"/>
      <c r="AC200" s="846"/>
      <c r="AD200" s="2577"/>
      <c r="AE200" s="2577"/>
      <c r="AF200" s="2577"/>
      <c r="AG200" s="2577"/>
      <c r="AH200" s="2577"/>
      <c r="AI200" s="2577"/>
      <c r="AJ200" s="2577"/>
      <c r="AK200" s="610"/>
    </row>
    <row r="201" spans="1:40">
      <c r="A201" s="605"/>
      <c r="B201" s="2587"/>
      <c r="C201" s="2587"/>
      <c r="D201" s="2587"/>
      <c r="E201" s="2587"/>
      <c r="F201" s="2587"/>
      <c r="G201" s="2587"/>
      <c r="H201" s="2587"/>
      <c r="I201" s="2587"/>
      <c r="J201" s="2587"/>
      <c r="K201" s="2587"/>
      <c r="L201" s="2587"/>
      <c r="M201" s="2587"/>
      <c r="N201" s="2587"/>
      <c r="O201" s="2587"/>
      <c r="P201" s="2587"/>
      <c r="Q201" s="2587"/>
      <c r="R201" s="2587"/>
      <c r="S201" s="2587"/>
      <c r="T201" s="2587"/>
      <c r="U201" s="2587"/>
      <c r="V201" s="2587"/>
      <c r="W201" s="2587"/>
      <c r="X201" s="2587"/>
      <c r="Y201" s="2587"/>
      <c r="Z201" s="2587"/>
      <c r="AA201" s="2587"/>
      <c r="AB201" s="2587"/>
      <c r="AC201" s="846"/>
      <c r="AD201" s="2577"/>
      <c r="AE201" s="2577"/>
      <c r="AF201" s="2577"/>
      <c r="AG201" s="2577"/>
      <c r="AH201" s="2577"/>
      <c r="AI201" s="2577"/>
      <c r="AJ201" s="2577"/>
      <c r="AK201" s="610"/>
    </row>
    <row r="202" spans="1:40">
      <c r="A202" s="605"/>
      <c r="B202" s="2587"/>
      <c r="C202" s="2587"/>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846"/>
      <c r="AD202" s="2577"/>
      <c r="AE202" s="2577"/>
      <c r="AF202" s="2577"/>
      <c r="AG202" s="2577"/>
      <c r="AH202" s="2577"/>
      <c r="AI202" s="2577"/>
      <c r="AJ202" s="2577"/>
      <c r="AK202" s="610"/>
    </row>
    <row r="203" spans="1:40">
      <c r="A203" s="605"/>
      <c r="B203" s="2587"/>
      <c r="C203" s="2587"/>
      <c r="D203" s="2587"/>
      <c r="E203" s="2587"/>
      <c r="F203" s="2587"/>
      <c r="G203" s="2587"/>
      <c r="H203" s="2587"/>
      <c r="I203" s="2587"/>
      <c r="J203" s="2587"/>
      <c r="K203" s="2587"/>
      <c r="L203" s="2587"/>
      <c r="M203" s="2587"/>
      <c r="N203" s="2587"/>
      <c r="O203" s="2587"/>
      <c r="P203" s="2587"/>
      <c r="Q203" s="2587"/>
      <c r="R203" s="2587"/>
      <c r="S203" s="2587"/>
      <c r="T203" s="2587"/>
      <c r="U203" s="2587"/>
      <c r="V203" s="2587"/>
      <c r="W203" s="2587"/>
      <c r="X203" s="2587"/>
      <c r="Y203" s="2587"/>
      <c r="Z203" s="2587"/>
      <c r="AA203" s="2587"/>
      <c r="AB203" s="2587"/>
      <c r="AC203" s="846"/>
      <c r="AD203" s="2577"/>
      <c r="AE203" s="2577"/>
      <c r="AF203" s="2577"/>
      <c r="AG203" s="2577"/>
      <c r="AH203" s="2577"/>
      <c r="AI203" s="2577"/>
      <c r="AJ203" s="2577"/>
      <c r="AK203" s="610"/>
    </row>
    <row r="204" spans="1:40">
      <c r="A204" s="605"/>
      <c r="B204" s="2587"/>
      <c r="C204" s="2587"/>
      <c r="D204" s="2587"/>
      <c r="E204" s="2587"/>
      <c r="F204" s="2587"/>
      <c r="G204" s="2587"/>
      <c r="H204" s="2587"/>
      <c r="I204" s="2587"/>
      <c r="J204" s="2587"/>
      <c r="K204" s="2587"/>
      <c r="L204" s="2587"/>
      <c r="M204" s="2587"/>
      <c r="N204" s="2587"/>
      <c r="O204" s="2587"/>
      <c r="P204" s="2587"/>
      <c r="Q204" s="2587"/>
      <c r="R204" s="2587"/>
      <c r="S204" s="2587"/>
      <c r="T204" s="2587"/>
      <c r="U204" s="2587"/>
      <c r="V204" s="2587"/>
      <c r="W204" s="2587"/>
      <c r="X204" s="2587"/>
      <c r="Y204" s="2587"/>
      <c r="Z204" s="2587"/>
      <c r="AA204" s="2587"/>
      <c r="AB204" s="2587"/>
      <c r="AC204" s="846"/>
      <c r="AD204" s="2577"/>
      <c r="AE204" s="2577"/>
      <c r="AF204" s="2577"/>
      <c r="AG204" s="2577"/>
      <c r="AH204" s="2577"/>
      <c r="AI204" s="2577"/>
      <c r="AJ204" s="2577"/>
      <c r="AK204" s="610"/>
    </row>
    <row r="205" spans="1:40">
      <c r="A205" s="605"/>
      <c r="B205" s="2587"/>
      <c r="C205" s="2587"/>
      <c r="D205" s="2587"/>
      <c r="E205" s="2587"/>
      <c r="F205" s="2587"/>
      <c r="G205" s="2587"/>
      <c r="H205" s="2587"/>
      <c r="I205" s="2587"/>
      <c r="J205" s="2587"/>
      <c r="K205" s="2587"/>
      <c r="L205" s="2587"/>
      <c r="M205" s="2587"/>
      <c r="N205" s="2587"/>
      <c r="O205" s="2587"/>
      <c r="P205" s="2587"/>
      <c r="Q205" s="2587"/>
      <c r="R205" s="2587"/>
      <c r="S205" s="2587"/>
      <c r="T205" s="2587"/>
      <c r="U205" s="2587"/>
      <c r="V205" s="2587"/>
      <c r="W205" s="2587"/>
      <c r="X205" s="2587"/>
      <c r="Y205" s="2587"/>
      <c r="Z205" s="2587"/>
      <c r="AA205" s="2587"/>
      <c r="AB205" s="2587"/>
      <c r="AC205" s="846"/>
      <c r="AD205" s="2577"/>
      <c r="AE205" s="2577"/>
      <c r="AF205" s="2577"/>
      <c r="AG205" s="2577"/>
      <c r="AH205" s="2577"/>
      <c r="AI205" s="2577"/>
      <c r="AJ205" s="2577"/>
      <c r="AK205" s="610"/>
    </row>
    <row r="206" spans="1:40">
      <c r="A206" s="605"/>
      <c r="B206" s="2587"/>
      <c r="C206" s="2587"/>
      <c r="D206" s="2587"/>
      <c r="E206" s="2587"/>
      <c r="F206" s="2587"/>
      <c r="G206" s="2587"/>
      <c r="H206" s="2587"/>
      <c r="I206" s="2587"/>
      <c r="J206" s="2587"/>
      <c r="K206" s="2587"/>
      <c r="L206" s="2587"/>
      <c r="M206" s="2587"/>
      <c r="N206" s="2587"/>
      <c r="O206" s="2587"/>
      <c r="P206" s="2587"/>
      <c r="Q206" s="2587"/>
      <c r="R206" s="2587"/>
      <c r="S206" s="2587"/>
      <c r="T206" s="2587"/>
      <c r="U206" s="2587"/>
      <c r="V206" s="2587"/>
      <c r="W206" s="2587"/>
      <c r="X206" s="2587"/>
      <c r="Y206" s="2587"/>
      <c r="Z206" s="2587"/>
      <c r="AA206" s="2587"/>
      <c r="AB206" s="2587"/>
      <c r="AC206" s="846"/>
      <c r="AD206" s="2577"/>
      <c r="AE206" s="2577"/>
      <c r="AF206" s="2577"/>
      <c r="AG206" s="2577"/>
      <c r="AH206" s="2577"/>
      <c r="AI206" s="2577"/>
      <c r="AJ206" s="2577"/>
      <c r="AK206" s="610"/>
    </row>
    <row r="207" spans="1:40">
      <c r="A207" s="605"/>
      <c r="B207" s="2587"/>
      <c r="C207" s="2587"/>
      <c r="D207" s="2587"/>
      <c r="E207" s="2587"/>
      <c r="F207" s="2587"/>
      <c r="G207" s="2587"/>
      <c r="H207" s="2587"/>
      <c r="I207" s="2587"/>
      <c r="J207" s="2587"/>
      <c r="K207" s="2587"/>
      <c r="L207" s="2587"/>
      <c r="M207" s="2587"/>
      <c r="N207" s="2587"/>
      <c r="O207" s="2587"/>
      <c r="P207" s="2587"/>
      <c r="Q207" s="2587"/>
      <c r="R207" s="2587"/>
      <c r="S207" s="2587"/>
      <c r="T207" s="2587"/>
      <c r="U207" s="2587"/>
      <c r="V207" s="2587"/>
      <c r="W207" s="2587"/>
      <c r="X207" s="2587"/>
      <c r="Y207" s="2587"/>
      <c r="Z207" s="2587"/>
      <c r="AA207" s="2587"/>
      <c r="AB207" s="2587"/>
      <c r="AC207" s="846"/>
      <c r="AD207" s="2577"/>
      <c r="AE207" s="2577"/>
      <c r="AF207" s="2577"/>
      <c r="AG207" s="2577"/>
      <c r="AH207" s="2577"/>
      <c r="AI207" s="2577"/>
      <c r="AJ207" s="2577"/>
      <c r="AK207" s="610"/>
    </row>
    <row r="208" spans="1:40">
      <c r="A208" s="605"/>
      <c r="B208" s="2587"/>
      <c r="C208" s="2587"/>
      <c r="D208" s="2587"/>
      <c r="E208" s="2587"/>
      <c r="F208" s="2587"/>
      <c r="G208" s="2587"/>
      <c r="H208" s="2587"/>
      <c r="I208" s="2587"/>
      <c r="J208" s="2587"/>
      <c r="K208" s="2587"/>
      <c r="L208" s="2587"/>
      <c r="M208" s="2587"/>
      <c r="N208" s="2587"/>
      <c r="O208" s="2587"/>
      <c r="P208" s="2587"/>
      <c r="Q208" s="2587"/>
      <c r="R208" s="2587"/>
      <c r="S208" s="2587"/>
      <c r="T208" s="2587"/>
      <c r="U208" s="2587"/>
      <c r="V208" s="2587"/>
      <c r="W208" s="2587"/>
      <c r="X208" s="2587"/>
      <c r="Y208" s="2587"/>
      <c r="Z208" s="2587"/>
      <c r="AA208" s="2587"/>
      <c r="AB208" s="2587"/>
      <c r="AC208" s="846"/>
      <c r="AD208" s="2577"/>
      <c r="AE208" s="2577"/>
      <c r="AF208" s="2577"/>
      <c r="AG208" s="2577"/>
      <c r="AH208" s="2577"/>
      <c r="AI208" s="2577"/>
      <c r="AJ208" s="2577"/>
      <c r="AK208" s="610"/>
    </row>
    <row r="209" spans="1:37">
      <c r="A209" s="605"/>
      <c r="B209" s="2602" t="s">
        <v>1628</v>
      </c>
      <c r="C209" s="2602"/>
      <c r="D209" s="2602"/>
      <c r="E209" s="2602"/>
      <c r="F209" s="2602"/>
      <c r="G209" s="2602"/>
      <c r="H209" s="2602"/>
      <c r="I209" s="2602"/>
      <c r="J209" s="2602"/>
      <c r="K209" s="2602"/>
      <c r="L209" s="2602"/>
      <c r="M209" s="2602"/>
      <c r="N209" s="2602"/>
      <c r="O209" s="2602"/>
      <c r="P209" s="2602"/>
      <c r="Q209" s="2602"/>
      <c r="R209" s="2602"/>
      <c r="S209" s="2602"/>
      <c r="T209" s="2602"/>
      <c r="U209" s="2602"/>
      <c r="V209" s="2602"/>
      <c r="W209" s="2602"/>
      <c r="X209" s="2602"/>
      <c r="Y209" s="2602"/>
      <c r="Z209" s="2602"/>
      <c r="AA209" s="2602"/>
      <c r="AB209" s="2602"/>
      <c r="AC209" s="536"/>
      <c r="AD209" s="2575">
        <f>AB260</f>
        <v>0</v>
      </c>
      <c r="AE209" s="2575"/>
      <c r="AF209" s="2575"/>
      <c r="AG209" s="2575"/>
      <c r="AH209" s="2575"/>
      <c r="AI209" s="2575"/>
      <c r="AJ209" s="2575"/>
      <c r="AK209" s="610"/>
    </row>
    <row r="210" spans="1:37">
      <c r="A210" s="605"/>
      <c r="B210" s="2449" t="s">
        <v>1591</v>
      </c>
      <c r="C210" s="2449"/>
      <c r="D210" s="2449"/>
      <c r="E210" s="2449"/>
      <c r="F210" s="2449"/>
      <c r="G210" s="2449"/>
      <c r="H210" s="2449"/>
      <c r="I210" s="2449"/>
      <c r="J210" s="2449"/>
      <c r="K210" s="2449"/>
      <c r="L210" s="2449"/>
      <c r="M210" s="2449"/>
      <c r="N210" s="2449"/>
      <c r="O210" s="2449"/>
      <c r="P210" s="2449"/>
      <c r="Q210" s="2449"/>
      <c r="R210" s="2449"/>
      <c r="S210" s="2449"/>
      <c r="T210" s="2449"/>
      <c r="U210" s="2449"/>
      <c r="V210" s="2449"/>
      <c r="W210" s="2449"/>
      <c r="X210" s="2449"/>
      <c r="Y210" s="2449"/>
      <c r="Z210" s="2449"/>
      <c r="AA210" s="2449"/>
      <c r="AB210" s="2449"/>
      <c r="AC210" s="846"/>
      <c r="AD210" s="2576">
        <f>'Sources and Uses Budget'!B15</f>
        <v>0</v>
      </c>
      <c r="AE210" s="2576"/>
      <c r="AF210" s="2576"/>
      <c r="AG210" s="2576"/>
      <c r="AH210" s="2576"/>
      <c r="AI210" s="2576"/>
      <c r="AJ210" s="2576"/>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81">
        <f>SUM(AD199:AJ209)-AD210</f>
        <v>3000000</v>
      </c>
      <c r="AE211" s="2581"/>
      <c r="AF211" s="2581"/>
      <c r="AG211" s="2581"/>
      <c r="AH211" s="2581"/>
      <c r="AI211" s="2581"/>
      <c r="AJ211" s="258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0" t="s">
        <v>1608</v>
      </c>
      <c r="J222" s="2600"/>
      <c r="K222" s="2600"/>
      <c r="L222" s="536"/>
      <c r="M222" s="536"/>
      <c r="N222" s="536"/>
      <c r="O222" s="536"/>
      <c r="P222" s="536"/>
      <c r="Q222" s="536"/>
      <c r="R222" s="536"/>
      <c r="S222" s="536"/>
      <c r="T222" s="2415" t="s">
        <v>1602</v>
      </c>
      <c r="U222" s="2415"/>
      <c r="V222" s="2415"/>
      <c r="W222" s="2415"/>
      <c r="X222" s="2415"/>
      <c r="Y222" s="2415"/>
      <c r="Z222" s="849"/>
      <c r="AA222" s="489"/>
      <c r="AB222" s="2597" t="s">
        <v>1603</v>
      </c>
      <c r="AC222" s="2597"/>
      <c r="AD222" s="2597"/>
      <c r="AE222" s="2597"/>
      <c r="AF222" s="2597"/>
      <c r="AG222" s="2597"/>
      <c r="AH222" s="827"/>
      <c r="AI222" s="827"/>
      <c r="AJ222" s="827"/>
      <c r="AK222" s="610"/>
    </row>
    <row r="223" spans="1:37">
      <c r="A223" s="605"/>
      <c r="B223" s="2598" t="s">
        <v>1588</v>
      </c>
      <c r="C223" s="2598"/>
      <c r="D223" s="2598"/>
      <c r="E223" s="2598"/>
      <c r="F223" s="2598"/>
      <c r="G223" s="2598"/>
      <c r="I223" s="2599" t="s">
        <v>1609</v>
      </c>
      <c r="J223" s="2599"/>
      <c r="K223" s="2599"/>
      <c r="L223" s="1008"/>
      <c r="N223" s="2450" t="s">
        <v>1604</v>
      </c>
      <c r="O223" s="2450"/>
      <c r="P223" s="2450"/>
      <c r="Q223" s="2450"/>
      <c r="R223" s="2450"/>
      <c r="T223" s="2450" t="s">
        <v>1605</v>
      </c>
      <c r="U223" s="2450"/>
      <c r="V223" s="2450"/>
      <c r="W223" s="2450"/>
      <c r="X223" s="2450"/>
      <c r="Y223" s="2450"/>
      <c r="Z223" s="850"/>
      <c r="AA223" s="489"/>
      <c r="AB223" s="2465" t="s">
        <v>1606</v>
      </c>
      <c r="AC223" s="2465"/>
      <c r="AD223" s="2465"/>
      <c r="AE223" s="2465"/>
      <c r="AF223" s="2465"/>
      <c r="AG223" s="2465"/>
      <c r="AH223" s="827"/>
      <c r="AI223" s="827"/>
      <c r="AJ223" s="827"/>
      <c r="AK223" s="610"/>
    </row>
    <row r="224" spans="1:37">
      <c r="A224" s="605"/>
      <c r="B224" s="2466" t="s">
        <v>1185</v>
      </c>
      <c r="C224" s="2466"/>
      <c r="D224" s="2466"/>
      <c r="E224" s="2466"/>
      <c r="F224" s="2466"/>
      <c r="G224" s="2466"/>
      <c r="H224" s="852"/>
      <c r="I224" s="2419"/>
      <c r="J224" s="2419"/>
      <c r="K224" s="2419"/>
      <c r="L224" s="1008"/>
      <c r="N224" s="2417"/>
      <c r="O224" s="2417"/>
      <c r="P224" s="2417"/>
      <c r="Q224" s="2417"/>
      <c r="R224" s="2417"/>
      <c r="T224" s="2416"/>
      <c r="U224" s="2416"/>
      <c r="V224" s="2416"/>
      <c r="W224" s="2416"/>
      <c r="X224" s="2416"/>
      <c r="Y224" s="2416"/>
      <c r="Z224" s="851"/>
      <c r="AA224" s="851"/>
      <c r="AB224" s="2414">
        <f t="shared" ref="AB224:AB233" si="0">MAX(($T224-$N224)*$I224*12,0)</f>
        <v>0</v>
      </c>
      <c r="AC224" s="2414"/>
      <c r="AD224" s="2414"/>
      <c r="AE224" s="2414"/>
      <c r="AF224" s="2414"/>
      <c r="AG224" s="2414"/>
      <c r="AH224" s="827"/>
      <c r="AI224" s="827"/>
      <c r="AJ224" s="827"/>
      <c r="AK224" s="610"/>
    </row>
    <row r="225" spans="1:37">
      <c r="A225" s="605"/>
      <c r="B225" s="2466" t="s">
        <v>1185</v>
      </c>
      <c r="C225" s="2466"/>
      <c r="D225" s="2466"/>
      <c r="E225" s="2466"/>
      <c r="F225" s="2466"/>
      <c r="G225" s="2466"/>
      <c r="I225" s="2419"/>
      <c r="J225" s="2419"/>
      <c r="K225" s="2419"/>
      <c r="L225" s="1008"/>
      <c r="N225" s="2417"/>
      <c r="O225" s="2417"/>
      <c r="P225" s="2417"/>
      <c r="Q225" s="2417"/>
      <c r="R225" s="2417"/>
      <c r="T225" s="2416"/>
      <c r="U225" s="2416"/>
      <c r="V225" s="2416"/>
      <c r="W225" s="2416"/>
      <c r="X225" s="2416"/>
      <c r="Y225" s="2416"/>
      <c r="Z225" s="851"/>
      <c r="AA225" s="851"/>
      <c r="AB225" s="2414">
        <f t="shared" si="0"/>
        <v>0</v>
      </c>
      <c r="AC225" s="2414"/>
      <c r="AD225" s="2414"/>
      <c r="AE225" s="2414"/>
      <c r="AF225" s="2414"/>
      <c r="AG225" s="2414"/>
      <c r="AH225" s="827"/>
      <c r="AI225" s="827"/>
      <c r="AJ225" s="827"/>
      <c r="AK225" s="610"/>
    </row>
    <row r="226" spans="1:37">
      <c r="A226" s="605"/>
      <c r="B226" s="2466" t="s">
        <v>1185</v>
      </c>
      <c r="C226" s="2466"/>
      <c r="D226" s="2466"/>
      <c r="E226" s="2466"/>
      <c r="F226" s="2466"/>
      <c r="G226" s="2466"/>
      <c r="I226" s="2419"/>
      <c r="J226" s="2419"/>
      <c r="K226" s="2419"/>
      <c r="L226" s="1008"/>
      <c r="N226" s="2417"/>
      <c r="O226" s="2417"/>
      <c r="P226" s="2417"/>
      <c r="Q226" s="2417"/>
      <c r="R226" s="2417"/>
      <c r="T226" s="2416"/>
      <c r="U226" s="2416"/>
      <c r="V226" s="2416"/>
      <c r="W226" s="2416"/>
      <c r="X226" s="2416"/>
      <c r="Y226" s="2416"/>
      <c r="Z226" s="851"/>
      <c r="AA226" s="851"/>
      <c r="AB226" s="2414">
        <f t="shared" si="0"/>
        <v>0</v>
      </c>
      <c r="AC226" s="2414"/>
      <c r="AD226" s="2414"/>
      <c r="AE226" s="2414"/>
      <c r="AF226" s="2414"/>
      <c r="AG226" s="2414"/>
      <c r="AH226" s="827"/>
      <c r="AI226" s="827"/>
      <c r="AJ226" s="827"/>
      <c r="AK226" s="610"/>
    </row>
    <row r="227" spans="1:37">
      <c r="A227" s="605"/>
      <c r="B227" s="2466" t="s">
        <v>1185</v>
      </c>
      <c r="C227" s="2466"/>
      <c r="D227" s="2466"/>
      <c r="E227" s="2466"/>
      <c r="F227" s="2466"/>
      <c r="G227" s="2466"/>
      <c r="I227" s="2419"/>
      <c r="J227" s="2419"/>
      <c r="K227" s="2419"/>
      <c r="L227" s="1008"/>
      <c r="N227" s="2417"/>
      <c r="O227" s="2417"/>
      <c r="P227" s="2417"/>
      <c r="Q227" s="2417"/>
      <c r="R227" s="2417"/>
      <c r="T227" s="2416"/>
      <c r="U227" s="2416"/>
      <c r="V227" s="2416"/>
      <c r="W227" s="2416"/>
      <c r="X227" s="2416"/>
      <c r="Y227" s="2416"/>
      <c r="Z227" s="851"/>
      <c r="AA227" s="851"/>
      <c r="AB227" s="2414">
        <f t="shared" si="0"/>
        <v>0</v>
      </c>
      <c r="AC227" s="2414"/>
      <c r="AD227" s="2414"/>
      <c r="AE227" s="2414"/>
      <c r="AF227" s="2414"/>
      <c r="AG227" s="2414"/>
      <c r="AH227" s="827"/>
      <c r="AI227" s="827"/>
      <c r="AJ227" s="827"/>
      <c r="AK227" s="610"/>
    </row>
    <row r="228" spans="1:37">
      <c r="A228" s="605"/>
      <c r="B228" s="2466" t="s">
        <v>1185</v>
      </c>
      <c r="C228" s="2466"/>
      <c r="D228" s="2466"/>
      <c r="E228" s="2466"/>
      <c r="F228" s="2466"/>
      <c r="G228" s="2466"/>
      <c r="I228" s="2419"/>
      <c r="J228" s="2419"/>
      <c r="K228" s="2419"/>
      <c r="L228" s="1015"/>
      <c r="N228" s="2417"/>
      <c r="O228" s="2417"/>
      <c r="P228" s="2417"/>
      <c r="Q228" s="2417"/>
      <c r="R228" s="2417"/>
      <c r="T228" s="2416"/>
      <c r="U228" s="2416"/>
      <c r="V228" s="2416"/>
      <c r="W228" s="2416"/>
      <c r="X228" s="2416"/>
      <c r="Y228" s="2416"/>
      <c r="Z228" s="851"/>
      <c r="AA228" s="851"/>
      <c r="AB228" s="2414">
        <f t="shared" si="0"/>
        <v>0</v>
      </c>
      <c r="AC228" s="2414"/>
      <c r="AD228" s="2414"/>
      <c r="AE228" s="2414"/>
      <c r="AF228" s="2414"/>
      <c r="AG228" s="2414"/>
      <c r="AH228" s="827"/>
      <c r="AI228" s="827"/>
      <c r="AJ228" s="827"/>
      <c r="AK228" s="610"/>
    </row>
    <row r="229" spans="1:37">
      <c r="A229" s="605"/>
      <c r="B229" s="2466" t="s">
        <v>1185</v>
      </c>
      <c r="C229" s="2466"/>
      <c r="D229" s="2466"/>
      <c r="E229" s="2466"/>
      <c r="F229" s="2466"/>
      <c r="G229" s="2466"/>
      <c r="I229" s="2419"/>
      <c r="J229" s="2419"/>
      <c r="K229" s="2419"/>
      <c r="L229" s="1015"/>
      <c r="N229" s="2417"/>
      <c r="O229" s="2417"/>
      <c r="P229" s="2417"/>
      <c r="Q229" s="2417"/>
      <c r="R229" s="2417"/>
      <c r="T229" s="2416"/>
      <c r="U229" s="2416"/>
      <c r="V229" s="2416"/>
      <c r="W229" s="2416"/>
      <c r="X229" s="2416"/>
      <c r="Y229" s="2416"/>
      <c r="Z229" s="851"/>
      <c r="AA229" s="851"/>
      <c r="AB229" s="2414">
        <f t="shared" si="0"/>
        <v>0</v>
      </c>
      <c r="AC229" s="2414"/>
      <c r="AD229" s="2414"/>
      <c r="AE229" s="2414"/>
      <c r="AF229" s="2414"/>
      <c r="AG229" s="2414"/>
      <c r="AH229" s="827"/>
      <c r="AI229" s="827"/>
      <c r="AJ229" s="827"/>
      <c r="AK229" s="610"/>
    </row>
    <row r="230" spans="1:37">
      <c r="A230" s="605"/>
      <c r="B230" s="2466" t="s">
        <v>1185</v>
      </c>
      <c r="C230" s="2466"/>
      <c r="D230" s="2466"/>
      <c r="E230" s="2466"/>
      <c r="F230" s="2466"/>
      <c r="G230" s="2466"/>
      <c r="I230" s="2419"/>
      <c r="J230" s="2419"/>
      <c r="K230" s="2419"/>
      <c r="L230" s="1015"/>
      <c r="N230" s="2417"/>
      <c r="O230" s="2417"/>
      <c r="P230" s="2417"/>
      <c r="Q230" s="2417"/>
      <c r="R230" s="2417"/>
      <c r="T230" s="2416"/>
      <c r="U230" s="2416"/>
      <c r="V230" s="2416"/>
      <c r="W230" s="2416"/>
      <c r="X230" s="2416"/>
      <c r="Y230" s="2416"/>
      <c r="Z230" s="851"/>
      <c r="AA230" s="851"/>
      <c r="AB230" s="2414">
        <f t="shared" si="0"/>
        <v>0</v>
      </c>
      <c r="AC230" s="2414"/>
      <c r="AD230" s="2414"/>
      <c r="AE230" s="2414"/>
      <c r="AF230" s="2414"/>
      <c r="AG230" s="2414"/>
      <c r="AH230" s="827"/>
      <c r="AI230" s="827"/>
      <c r="AJ230" s="827"/>
      <c r="AK230" s="610"/>
    </row>
    <row r="231" spans="1:37">
      <c r="A231" s="605"/>
      <c r="B231" s="2466" t="s">
        <v>1185</v>
      </c>
      <c r="C231" s="2466"/>
      <c r="D231" s="2466"/>
      <c r="E231" s="2466"/>
      <c r="F231" s="2466"/>
      <c r="G231" s="2466"/>
      <c r="I231" s="2419"/>
      <c r="J231" s="2419"/>
      <c r="K231" s="2419"/>
      <c r="L231" s="1015"/>
      <c r="N231" s="2417"/>
      <c r="O231" s="2417"/>
      <c r="P231" s="2417"/>
      <c r="Q231" s="2417"/>
      <c r="R231" s="2417"/>
      <c r="T231" s="2416"/>
      <c r="U231" s="2416"/>
      <c r="V231" s="2416"/>
      <c r="W231" s="2416"/>
      <c r="X231" s="2416"/>
      <c r="Y231" s="2416"/>
      <c r="Z231" s="851"/>
      <c r="AA231" s="851"/>
      <c r="AB231" s="2414">
        <f t="shared" si="0"/>
        <v>0</v>
      </c>
      <c r="AC231" s="2414"/>
      <c r="AD231" s="2414"/>
      <c r="AE231" s="2414"/>
      <c r="AF231" s="2414"/>
      <c r="AG231" s="2414"/>
      <c r="AH231" s="827"/>
      <c r="AI231" s="827"/>
      <c r="AJ231" s="827"/>
      <c r="AK231" s="610"/>
    </row>
    <row r="232" spans="1:37">
      <c r="A232" s="605"/>
      <c r="B232" s="2466" t="s">
        <v>1185</v>
      </c>
      <c r="C232" s="2466"/>
      <c r="D232" s="2466"/>
      <c r="E232" s="2466"/>
      <c r="F232" s="2466"/>
      <c r="G232" s="2466"/>
      <c r="I232" s="2419"/>
      <c r="J232" s="2419"/>
      <c r="K232" s="2419"/>
      <c r="L232" s="1015"/>
      <c r="N232" s="2417"/>
      <c r="O232" s="2417"/>
      <c r="P232" s="2417"/>
      <c r="Q232" s="2417"/>
      <c r="R232" s="2417"/>
      <c r="T232" s="2416"/>
      <c r="U232" s="2416"/>
      <c r="V232" s="2416"/>
      <c r="W232" s="2416"/>
      <c r="X232" s="2416"/>
      <c r="Y232" s="2416"/>
      <c r="Z232" s="851"/>
      <c r="AA232" s="851"/>
      <c r="AB232" s="2414">
        <f t="shared" si="0"/>
        <v>0</v>
      </c>
      <c r="AC232" s="2414"/>
      <c r="AD232" s="2414"/>
      <c r="AE232" s="2414"/>
      <c r="AF232" s="2414"/>
      <c r="AG232" s="2414"/>
      <c r="AH232" s="827"/>
      <c r="AI232" s="827"/>
      <c r="AJ232" s="827"/>
      <c r="AK232" s="610"/>
    </row>
    <row r="233" spans="1:37">
      <c r="A233" s="605"/>
      <c r="B233" s="2466" t="s">
        <v>1185</v>
      </c>
      <c r="C233" s="2466"/>
      <c r="D233" s="2466"/>
      <c r="E233" s="2466"/>
      <c r="F233" s="2466"/>
      <c r="G233" s="2466"/>
      <c r="I233" s="2601"/>
      <c r="J233" s="2601"/>
      <c r="K233" s="2601"/>
      <c r="L233" s="1015"/>
      <c r="N233" s="2417"/>
      <c r="O233" s="2417"/>
      <c r="P233" s="2417"/>
      <c r="Q233" s="2417"/>
      <c r="R233" s="2417"/>
      <c r="T233" s="2416"/>
      <c r="U233" s="2416"/>
      <c r="V233" s="2416"/>
      <c r="W233" s="2416"/>
      <c r="X233" s="2416"/>
      <c r="Y233" s="2416"/>
      <c r="Z233" s="851"/>
      <c r="AA233" s="851"/>
      <c r="AB233" s="2420">
        <f t="shared" si="0"/>
        <v>0</v>
      </c>
      <c r="AC233" s="2420"/>
      <c r="AD233" s="2420"/>
      <c r="AE233" s="2420"/>
      <c r="AF233" s="2420"/>
      <c r="AG233" s="242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14">
        <f>SUM(AB224:AB233)</f>
        <v>0</v>
      </c>
      <c r="AC234" s="2414"/>
      <c r="AD234" s="2414"/>
      <c r="AE234" s="2414"/>
      <c r="AF234" s="2414"/>
      <c r="AG234" s="241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1"/>
      <c r="AC240" s="2451"/>
      <c r="AD240" s="2451"/>
      <c r="AE240" s="2451"/>
      <c r="AF240" s="2451"/>
      <c r="AG240" s="2451"/>
      <c r="AH240" s="610"/>
      <c r="AI240" s="610"/>
      <c r="AJ240" s="610"/>
      <c r="AK240" s="610"/>
    </row>
    <row r="241" spans="1:37" ht="13">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1"/>
      <c r="AC243" s="2451"/>
      <c r="AD243" s="2451"/>
      <c r="AE243" s="2451"/>
      <c r="AF243" s="2451"/>
      <c r="AG243" s="2451"/>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3"/>
      <c r="AC244" s="2413"/>
      <c r="AD244" s="2413"/>
      <c r="AE244" s="2413"/>
      <c r="AF244" s="2413"/>
      <c r="AG244" s="2413"/>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1">
        <f>IFERROR(AB243/AB244,0)</f>
        <v>0</v>
      </c>
      <c r="AC245" s="2421"/>
      <c r="AD245" s="2421"/>
      <c r="AE245" s="2421"/>
      <c r="AF245" s="2421"/>
      <c r="AG245" s="242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0">
        <f>MAX(AB240,AB245)</f>
        <v>0</v>
      </c>
      <c r="AC247" s="2420"/>
      <c r="AD247" s="2420"/>
      <c r="AE247" s="2420"/>
      <c r="AF247" s="2420"/>
      <c r="AG247" s="242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4">
        <f>AB234+AB247</f>
        <v>0</v>
      </c>
      <c r="AC250" s="2414"/>
      <c r="AD250" s="2414"/>
      <c r="AE250" s="2414"/>
      <c r="AF250" s="2414"/>
      <c r="AG250" s="2414"/>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5">
        <v>0.05</v>
      </c>
      <c r="AC251" s="2585"/>
      <c r="AD251" s="2585"/>
      <c r="AE251" s="2585"/>
      <c r="AF251" s="2585"/>
      <c r="AG251" s="2585"/>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6">
        <f>AB250-(AB250*AB251)</f>
        <v>0</v>
      </c>
      <c r="AC252" s="2586"/>
      <c r="AD252" s="2586"/>
      <c r="AE252" s="2586"/>
      <c r="AF252" s="2586"/>
      <c r="AG252" s="2586"/>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4">
        <f>AB252/AB258</f>
        <v>0</v>
      </c>
      <c r="AC254" s="2414"/>
      <c r="AD254" s="2414"/>
      <c r="AE254" s="2414"/>
      <c r="AF254" s="2414"/>
      <c r="AG254" s="241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7">
        <v>15</v>
      </c>
      <c r="AC256" s="2597"/>
      <c r="AD256" s="2597"/>
      <c r="AE256" s="2597"/>
      <c r="AF256" s="2597"/>
      <c r="AG256" s="2597"/>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8">
        <v>0.04</v>
      </c>
      <c r="AC257" s="2588"/>
      <c r="AD257" s="2588"/>
      <c r="AE257" s="2588"/>
      <c r="AF257" s="2588"/>
      <c r="AG257" s="2588"/>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9">
        <v>1.1499999999999999</v>
      </c>
      <c r="AC258" s="2589"/>
      <c r="AD258" s="2589"/>
      <c r="AE258" s="2589"/>
      <c r="AF258" s="2589"/>
      <c r="AG258" s="258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8">
        <f>PV(AB257/12,AB256*12,-AB254/12, ,0)</f>
        <v>0</v>
      </c>
      <c r="AC260" s="2579"/>
      <c r="AD260" s="2579"/>
      <c r="AE260" s="2579"/>
      <c r="AF260" s="2579"/>
      <c r="AG260" s="2580"/>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2">
        <f>IFERROR(('Sources and Uses Budget'!D105/'Sources and Uses Budget'!B105),0)</f>
        <v>0</v>
      </c>
      <c r="AC266" s="2583"/>
      <c r="AD266" s="2583"/>
      <c r="AE266" s="2583"/>
      <c r="AF266" s="2583"/>
      <c r="AG266" s="258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8">
        <f>AD211*(1-AB266)</f>
        <v>3000000</v>
      </c>
      <c r="AH268" s="2428"/>
      <c r="AI268" s="2428"/>
      <c r="AJ268" s="2428"/>
      <c r="AK268" s="2428"/>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8">
        <f>'Sources and Uses Budget'!C105</f>
        <v>49406004</v>
      </c>
      <c r="AH269" s="2428"/>
      <c r="AI269" s="2428"/>
      <c r="AJ269" s="2428"/>
      <c r="AK269" s="242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4">
        <f>ROUNDDOWN(IF(AND(C292="Yes",AK84=10),((AG268*2)/AG269),AG268/AG269),2)</f>
        <v>0.12</v>
      </c>
      <c r="AH270" s="2574"/>
      <c r="AI270" s="2574"/>
      <c r="AJ270" s="2574"/>
      <c r="AK270" s="2574"/>
    </row>
    <row r="271" spans="1:37" ht="13">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63">
        <f>IFERROR(IF(AG270=0,0,IF((AG270*100)&gt;8,8,(AG270*100))),0)</f>
        <v>8</v>
      </c>
      <c r="AL273" s="2563"/>
      <c r="AM273" s="2564"/>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5" t="s">
        <v>546</v>
      </c>
      <c r="D278" s="2445"/>
      <c r="E278" s="547"/>
      <c r="F278" s="2397" t="s">
        <v>2026</v>
      </c>
      <c r="G278" s="2398"/>
      <c r="H278" s="2398"/>
      <c r="I278" s="2398"/>
      <c r="J278" s="2398"/>
      <c r="K278" s="2398"/>
      <c r="L278" s="2398"/>
      <c r="M278" s="2398"/>
      <c r="N278" s="2398"/>
      <c r="O278" s="2398"/>
      <c r="P278" s="2398"/>
      <c r="Q278" s="2398"/>
      <c r="R278" s="2398"/>
      <c r="S278" s="2398"/>
      <c r="T278" s="2398"/>
      <c r="U278" s="2398"/>
      <c r="V278" s="2398"/>
      <c r="W278" s="2398"/>
      <c r="X278" s="2398"/>
      <c r="Y278" s="2398"/>
      <c r="Z278" s="2398"/>
      <c r="AA278" s="2398"/>
      <c r="AB278" s="2398"/>
      <c r="AC278" s="2398"/>
      <c r="AD278" s="2399"/>
      <c r="AE278" s="550"/>
      <c r="AF278" s="635"/>
      <c r="AG278" s="2572" t="s">
        <v>1364</v>
      </c>
      <c r="AH278" s="2572"/>
      <c r="AI278" s="2572"/>
      <c r="AJ278" s="2572"/>
      <c r="AK278" s="550"/>
      <c r="AL278" s="550"/>
      <c r="AM278" s="550"/>
      <c r="AO278" s="550"/>
    </row>
    <row r="279" spans="1:52" ht="13.75" customHeight="1">
      <c r="A279" s="550"/>
      <c r="B279" s="596"/>
      <c r="C279" s="636"/>
      <c r="D279" s="550"/>
      <c r="E279" s="547"/>
      <c r="F279" s="2400"/>
      <c r="G279" s="2401"/>
      <c r="H279" s="2401"/>
      <c r="I279" s="2401"/>
      <c r="J279" s="2401"/>
      <c r="K279" s="2401"/>
      <c r="L279" s="2401"/>
      <c r="M279" s="2401"/>
      <c r="N279" s="2401"/>
      <c r="O279" s="2401"/>
      <c r="P279" s="2401"/>
      <c r="Q279" s="2401"/>
      <c r="R279" s="2401"/>
      <c r="S279" s="2401"/>
      <c r="T279" s="2401"/>
      <c r="U279" s="2401"/>
      <c r="V279" s="2401"/>
      <c r="W279" s="2401"/>
      <c r="X279" s="2401"/>
      <c r="Y279" s="2401"/>
      <c r="Z279" s="2401"/>
      <c r="AA279" s="2401"/>
      <c r="AB279" s="2401"/>
      <c r="AC279" s="2401"/>
      <c r="AD279" s="2402"/>
      <c r="AE279" s="550"/>
      <c r="AF279" s="635"/>
      <c r="AG279" s="635"/>
      <c r="AH279" s="635"/>
      <c r="AI279" s="635"/>
      <c r="AJ279" s="550"/>
      <c r="AK279" s="550"/>
      <c r="AL279" s="550"/>
      <c r="AM279" s="550"/>
      <c r="AO279" s="550"/>
    </row>
    <row r="280" spans="1:52">
      <c r="A280" s="550"/>
      <c r="B280" s="596"/>
      <c r="C280" s="636"/>
      <c r="D280" s="550"/>
      <c r="E280" s="547"/>
      <c r="F280" s="2400"/>
      <c r="G280" s="2401"/>
      <c r="H280" s="2401"/>
      <c r="I280" s="2401"/>
      <c r="J280" s="2401"/>
      <c r="K280" s="2401"/>
      <c r="L280" s="2401"/>
      <c r="M280" s="2401"/>
      <c r="N280" s="2401"/>
      <c r="O280" s="2401"/>
      <c r="P280" s="2401"/>
      <c r="Q280" s="2401"/>
      <c r="R280" s="2401"/>
      <c r="S280" s="2401"/>
      <c r="T280" s="2401"/>
      <c r="U280" s="2401"/>
      <c r="V280" s="2401"/>
      <c r="W280" s="2401"/>
      <c r="X280" s="2401"/>
      <c r="Y280" s="2401"/>
      <c r="Z280" s="2401"/>
      <c r="AA280" s="2401"/>
      <c r="AB280" s="2401"/>
      <c r="AC280" s="2401"/>
      <c r="AD280" s="2402"/>
      <c r="AE280" s="550"/>
      <c r="AF280" s="635"/>
      <c r="AG280" s="635"/>
      <c r="AH280" s="635"/>
      <c r="AI280" s="635"/>
      <c r="AJ280" s="550"/>
      <c r="AK280" s="550"/>
      <c r="AL280" s="550"/>
      <c r="AM280" s="550"/>
      <c r="AO280" s="550"/>
      <c r="AP280" s="637"/>
    </row>
    <row r="281" spans="1:52">
      <c r="A281" s="550"/>
      <c r="B281" s="596"/>
      <c r="C281" s="636"/>
      <c r="D281" s="550"/>
      <c r="E281" s="547"/>
      <c r="F281" s="2400"/>
      <c r="G281" s="2401"/>
      <c r="H281" s="2401"/>
      <c r="I281" s="2401"/>
      <c r="J281" s="2401"/>
      <c r="K281" s="2401"/>
      <c r="L281" s="2401"/>
      <c r="M281" s="2401"/>
      <c r="N281" s="2401"/>
      <c r="O281" s="2401"/>
      <c r="P281" s="2401"/>
      <c r="Q281" s="2401"/>
      <c r="R281" s="2401"/>
      <c r="S281" s="2401"/>
      <c r="T281" s="2401"/>
      <c r="U281" s="2401"/>
      <c r="V281" s="2401"/>
      <c r="W281" s="2401"/>
      <c r="X281" s="2401"/>
      <c r="Y281" s="2401"/>
      <c r="Z281" s="2401"/>
      <c r="AA281" s="2401"/>
      <c r="AB281" s="2401"/>
      <c r="AC281" s="2401"/>
      <c r="AD281" s="2402"/>
      <c r="AE281" s="550"/>
      <c r="AF281" s="635"/>
      <c r="AG281" s="635"/>
      <c r="AH281" s="635"/>
      <c r="AI281" s="635"/>
      <c r="AJ281" s="550"/>
      <c r="AK281" s="550"/>
      <c r="AL281" s="550"/>
      <c r="AM281" s="550"/>
      <c r="AO281" s="550"/>
      <c r="AP281" s="637"/>
    </row>
    <row r="282" spans="1:52" ht="13.75" customHeight="1">
      <c r="A282" s="550"/>
      <c r="B282" s="596"/>
      <c r="C282" s="2573"/>
      <c r="D282" s="2573"/>
      <c r="E282" s="547"/>
      <c r="F282" s="2403"/>
      <c r="G282" s="2404"/>
      <c r="H282" s="2404"/>
      <c r="I282" s="2404"/>
      <c r="J282" s="2404"/>
      <c r="K282" s="2404"/>
      <c r="L282" s="2404"/>
      <c r="M282" s="2404"/>
      <c r="N282" s="2404"/>
      <c r="O282" s="2404"/>
      <c r="P282" s="2404"/>
      <c r="Q282" s="2404"/>
      <c r="R282" s="2404"/>
      <c r="S282" s="2404"/>
      <c r="T282" s="2404"/>
      <c r="U282" s="2404"/>
      <c r="V282" s="2404"/>
      <c r="W282" s="2404"/>
      <c r="X282" s="2404"/>
      <c r="Y282" s="2404"/>
      <c r="Z282" s="2404"/>
      <c r="AA282" s="2404"/>
      <c r="AB282" s="2404"/>
      <c r="AC282" s="2404"/>
      <c r="AD282" s="2405"/>
      <c r="AE282" s="550"/>
      <c r="AF282" s="635"/>
      <c r="AG282" s="2572"/>
      <c r="AH282" s="2572"/>
      <c r="AI282" s="2572"/>
      <c r="AJ282" s="2572"/>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63">
        <f>IF($C$278="yes",10,0)</f>
        <v>10</v>
      </c>
      <c r="AL285" s="2563"/>
      <c r="AM285" s="2564"/>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1381</v>
      </c>
      <c r="B288" s="538" t="s">
        <v>1855</v>
      </c>
      <c r="AH288" s="591" t="s">
        <v>1315</v>
      </c>
    </row>
    <row r="289" spans="1:49" ht="15" customHeight="1">
      <c r="B289" s="539"/>
    </row>
    <row r="290" spans="1:49" ht="15" customHeight="1">
      <c r="B290" s="539" t="s">
        <v>1729</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9" t="s">
        <v>1383</v>
      </c>
      <c r="B292" s="1639"/>
      <c r="C292" s="2396" t="s">
        <v>546</v>
      </c>
      <c r="D292" s="2445"/>
      <c r="E292" s="547"/>
      <c r="F292" s="2565" t="s">
        <v>1384</v>
      </c>
      <c r="G292" s="2566"/>
      <c r="H292" s="2566"/>
      <c r="I292" s="2566"/>
      <c r="J292" s="2566"/>
      <c r="K292" s="2566"/>
      <c r="L292" s="2566"/>
      <c r="M292" s="2566"/>
      <c r="N292" s="2566"/>
      <c r="O292" s="2566"/>
      <c r="P292" s="2566"/>
      <c r="Q292" s="2566"/>
      <c r="R292" s="2566"/>
      <c r="S292" s="2566"/>
      <c r="T292" s="2566"/>
      <c r="U292" s="2566"/>
      <c r="V292" s="2566"/>
      <c r="W292" s="2566"/>
      <c r="X292" s="2566"/>
      <c r="Y292" s="2566"/>
      <c r="Z292" s="2566"/>
      <c r="AA292" s="2566"/>
      <c r="AB292" s="2566"/>
      <c r="AC292" s="2566"/>
      <c r="AD292" s="2567"/>
      <c r="AE292" s="642"/>
      <c r="AF292" s="550"/>
      <c r="AG292" s="2568" t="s">
        <v>2019</v>
      </c>
      <c r="AH292" s="2568"/>
      <c r="AI292" s="2568"/>
      <c r="AJ292" s="2568"/>
      <c r="AK292" s="2568"/>
      <c r="AL292" s="550"/>
      <c r="AM292" s="550"/>
      <c r="AN292" s="73"/>
      <c r="AO292" s="14"/>
      <c r="AP292" s="30"/>
      <c r="AS292" s="570"/>
      <c r="AT292" s="570"/>
      <c r="AU292" s="570"/>
      <c r="AV292" s="32"/>
      <c r="AW292" s="32"/>
    </row>
    <row r="293" spans="1:49" ht="13">
      <c r="A293" s="640"/>
      <c r="B293" s="596"/>
      <c r="F293" s="2423"/>
      <c r="G293" s="2424"/>
      <c r="H293" s="2424"/>
      <c r="I293" s="2424"/>
      <c r="J293" s="2424"/>
      <c r="K293" s="2424"/>
      <c r="L293" s="2424"/>
      <c r="M293" s="2424"/>
      <c r="N293" s="2424"/>
      <c r="O293" s="2424"/>
      <c r="P293" s="2424"/>
      <c r="Q293" s="2424"/>
      <c r="R293" s="2424"/>
      <c r="S293" s="2424"/>
      <c r="T293" s="2424"/>
      <c r="U293" s="2424"/>
      <c r="V293" s="2424"/>
      <c r="W293" s="2424"/>
      <c r="X293" s="2424"/>
      <c r="Y293" s="2424"/>
      <c r="Z293" s="2424"/>
      <c r="AA293" s="2424"/>
      <c r="AB293" s="2424"/>
      <c r="AC293" s="2424"/>
      <c r="AD293" s="2425"/>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3"/>
      <c r="G294" s="2424"/>
      <c r="H294" s="2424"/>
      <c r="I294" s="2424"/>
      <c r="J294" s="2424"/>
      <c r="K294" s="2424"/>
      <c r="L294" s="2424"/>
      <c r="M294" s="2424"/>
      <c r="N294" s="2424"/>
      <c r="O294" s="2424"/>
      <c r="P294" s="2424"/>
      <c r="Q294" s="2424"/>
      <c r="R294" s="2424"/>
      <c r="S294" s="2424"/>
      <c r="T294" s="2424"/>
      <c r="U294" s="2424"/>
      <c r="V294" s="2424"/>
      <c r="W294" s="2424"/>
      <c r="X294" s="2424"/>
      <c r="Y294" s="2424"/>
      <c r="Z294" s="2424"/>
      <c r="AA294" s="2424"/>
      <c r="AB294" s="2424"/>
      <c r="AC294" s="2424"/>
      <c r="AD294" s="2425"/>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3" t="s">
        <v>2027</v>
      </c>
      <c r="G295" s="2424"/>
      <c r="H295" s="2424"/>
      <c r="I295" s="2424"/>
      <c r="J295" s="2424"/>
      <c r="K295" s="2424"/>
      <c r="L295" s="2424"/>
      <c r="M295" s="2424"/>
      <c r="N295" s="2424"/>
      <c r="O295" s="2424"/>
      <c r="P295" s="2424"/>
      <c r="Q295" s="2424"/>
      <c r="R295" s="2424"/>
      <c r="S295" s="2424"/>
      <c r="T295" s="2424"/>
      <c r="U295" s="2424"/>
      <c r="V295" s="2424"/>
      <c r="W295" s="2424"/>
      <c r="X295" s="2424"/>
      <c r="Y295" s="2424"/>
      <c r="Z295" s="2424"/>
      <c r="AA295" s="2424"/>
      <c r="AB295" s="2424"/>
      <c r="AC295" s="2424"/>
      <c r="AD295" s="2425"/>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ht="13">
      <c r="A296" s="640"/>
      <c r="B296" s="596"/>
      <c r="F296" s="2423"/>
      <c r="G296" s="2424"/>
      <c r="H296" s="2424"/>
      <c r="I296" s="2424"/>
      <c r="J296" s="2424"/>
      <c r="K296" s="2424"/>
      <c r="L296" s="2424"/>
      <c r="M296" s="2424"/>
      <c r="N296" s="2424"/>
      <c r="O296" s="2424"/>
      <c r="P296" s="2424"/>
      <c r="Q296" s="2424"/>
      <c r="R296" s="2424"/>
      <c r="S296" s="2424"/>
      <c r="T296" s="2424"/>
      <c r="U296" s="2424"/>
      <c r="V296" s="2424"/>
      <c r="W296" s="2424"/>
      <c r="X296" s="2424"/>
      <c r="Y296" s="2424"/>
      <c r="Z296" s="2424"/>
      <c r="AA296" s="2424"/>
      <c r="AB296" s="2424"/>
      <c r="AC296" s="2424"/>
      <c r="AD296" s="242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3" t="s">
        <v>1385</v>
      </c>
      <c r="G297" s="2424"/>
      <c r="H297" s="2424"/>
      <c r="I297" s="2424"/>
      <c r="J297" s="2424"/>
      <c r="K297" s="2424"/>
      <c r="L297" s="2424"/>
      <c r="M297" s="2424"/>
      <c r="N297" s="2424"/>
      <c r="O297" s="2424"/>
      <c r="P297" s="2424"/>
      <c r="Q297" s="2424"/>
      <c r="R297" s="2424"/>
      <c r="S297" s="2424"/>
      <c r="T297" s="2424"/>
      <c r="U297" s="2424"/>
      <c r="V297" s="2424"/>
      <c r="W297" s="2424"/>
      <c r="X297" s="2424"/>
      <c r="Y297" s="2424"/>
      <c r="Z297" s="2424"/>
      <c r="AA297" s="2424"/>
      <c r="AB297" s="2424"/>
      <c r="AC297" s="2424"/>
      <c r="AD297" s="242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3"/>
      <c r="G298" s="2424"/>
      <c r="H298" s="2424"/>
      <c r="I298" s="2424"/>
      <c r="J298" s="2424"/>
      <c r="K298" s="2424"/>
      <c r="L298" s="2424"/>
      <c r="M298" s="2424"/>
      <c r="N298" s="2424"/>
      <c r="O298" s="2424"/>
      <c r="P298" s="2424"/>
      <c r="Q298" s="2424"/>
      <c r="R298" s="2424"/>
      <c r="S298" s="2424"/>
      <c r="T298" s="2424"/>
      <c r="U298" s="2424"/>
      <c r="V298" s="2424"/>
      <c r="W298" s="2424"/>
      <c r="X298" s="2424"/>
      <c r="Y298" s="2424"/>
      <c r="Z298" s="2424"/>
      <c r="AA298" s="2424"/>
      <c r="AB298" s="2424"/>
      <c r="AC298" s="2424"/>
      <c r="AD298" s="242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3" t="s">
        <v>1386</v>
      </c>
      <c r="G299" s="2424"/>
      <c r="H299" s="2424"/>
      <c r="I299" s="2424"/>
      <c r="J299" s="2424"/>
      <c r="K299" s="2424"/>
      <c r="L299" s="2424"/>
      <c r="M299" s="2424"/>
      <c r="N299" s="2424"/>
      <c r="O299" s="2424"/>
      <c r="P299" s="2424"/>
      <c r="Q299" s="2424"/>
      <c r="R299" s="2424"/>
      <c r="S299" s="2424"/>
      <c r="T299" s="2424"/>
      <c r="U299" s="2424"/>
      <c r="V299" s="2424"/>
      <c r="W299" s="2424"/>
      <c r="X299" s="2424"/>
      <c r="Y299" s="2424"/>
      <c r="Z299" s="2424"/>
      <c r="AA299" s="2424"/>
      <c r="AB299" s="2424"/>
      <c r="AC299" s="2424"/>
      <c r="AD299" s="242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6"/>
      <c r="G300" s="2427"/>
      <c r="H300" s="2427"/>
      <c r="I300" s="2427"/>
      <c r="J300" s="2427"/>
      <c r="K300" s="2427"/>
      <c r="L300" s="2427"/>
      <c r="M300" s="2427"/>
      <c r="N300" s="2427"/>
      <c r="O300" s="2427"/>
      <c r="P300" s="2427"/>
      <c r="Q300" s="2427"/>
      <c r="R300" s="2427"/>
      <c r="S300" s="2427"/>
      <c r="T300" s="2427"/>
      <c r="U300" s="2427"/>
      <c r="V300" s="2427"/>
      <c r="W300" s="2427"/>
      <c r="X300" s="2427"/>
      <c r="Y300" s="2427"/>
      <c r="Z300" s="2427"/>
      <c r="AA300" s="2427"/>
      <c r="AB300" s="2427"/>
      <c r="AC300" s="2427"/>
      <c r="AD300" s="256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9" t="s">
        <v>1387</v>
      </c>
      <c r="B302" s="1639"/>
      <c r="C302" s="2445" t="s">
        <v>592</v>
      </c>
      <c r="D302" s="2445"/>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7" t="s">
        <v>2021</v>
      </c>
      <c r="G303" s="2548"/>
      <c r="H303" s="2548"/>
      <c r="I303" s="2548"/>
      <c r="J303" s="2548"/>
      <c r="K303" s="2548"/>
      <c r="L303" s="2548"/>
      <c r="M303" s="2548"/>
      <c r="N303" s="2548"/>
      <c r="O303" s="2548"/>
      <c r="P303" s="2548"/>
      <c r="Q303" s="2548"/>
      <c r="R303" s="2548"/>
      <c r="S303" s="2548"/>
      <c r="T303" s="2548"/>
      <c r="U303" s="2548"/>
      <c r="V303" s="2548"/>
      <c r="W303" s="2548"/>
      <c r="X303" s="2548"/>
      <c r="Y303" s="2548"/>
      <c r="Z303" s="2548"/>
      <c r="AA303" s="2548"/>
      <c r="AB303" s="2548"/>
      <c r="AC303" s="2548"/>
      <c r="AD303" s="2549"/>
      <c r="AE303" s="551"/>
      <c r="AF303" s="551"/>
      <c r="AG303" s="551"/>
      <c r="AH303" s="551"/>
      <c r="AI303" s="551"/>
      <c r="AJ303" s="550"/>
      <c r="AK303" s="550"/>
      <c r="AL303" s="550"/>
      <c r="AM303" s="550"/>
      <c r="AR303" s="648"/>
    </row>
    <row r="304" spans="1:49" ht="15" customHeight="1">
      <c r="A304" s="550"/>
      <c r="B304" s="551"/>
      <c r="C304" s="550"/>
      <c r="D304" s="551"/>
      <c r="E304" s="550"/>
      <c r="F304" s="2547"/>
      <c r="G304" s="2548"/>
      <c r="H304" s="2548"/>
      <c r="I304" s="2548"/>
      <c r="J304" s="2548"/>
      <c r="K304" s="2548"/>
      <c r="L304" s="2548"/>
      <c r="M304" s="2548"/>
      <c r="N304" s="2548"/>
      <c r="O304" s="2548"/>
      <c r="P304" s="2548"/>
      <c r="Q304" s="2548"/>
      <c r="R304" s="2548"/>
      <c r="S304" s="2548"/>
      <c r="T304" s="2548"/>
      <c r="U304" s="2548"/>
      <c r="V304" s="2548"/>
      <c r="W304" s="2548"/>
      <c r="X304" s="2548"/>
      <c r="Y304" s="2548"/>
      <c r="Z304" s="2548"/>
      <c r="AA304" s="2548"/>
      <c r="AB304" s="2548"/>
      <c r="AC304" s="2548"/>
      <c r="AD304" s="2549"/>
      <c r="AE304" s="551"/>
      <c r="AF304" s="551"/>
      <c r="AG304" s="551"/>
      <c r="AH304" s="551"/>
      <c r="AI304" s="551"/>
      <c r="AJ304" s="550"/>
      <c r="AK304" s="550"/>
      <c r="AL304" s="550"/>
      <c r="AM304" s="550"/>
      <c r="AR304" s="648"/>
    </row>
    <row r="305" spans="1:44">
      <c r="A305" s="550"/>
      <c r="B305" s="551"/>
      <c r="C305" s="550"/>
      <c r="D305" s="551"/>
      <c r="E305" s="550"/>
      <c r="F305" s="2547"/>
      <c r="G305" s="2548"/>
      <c r="H305" s="2548"/>
      <c r="I305" s="2548"/>
      <c r="J305" s="2548"/>
      <c r="K305" s="2548"/>
      <c r="L305" s="2548"/>
      <c r="M305" s="2548"/>
      <c r="N305" s="2548"/>
      <c r="O305" s="2548"/>
      <c r="P305" s="2548"/>
      <c r="Q305" s="2548"/>
      <c r="R305" s="2548"/>
      <c r="S305" s="2548"/>
      <c r="T305" s="2548"/>
      <c r="U305" s="2548"/>
      <c r="V305" s="2548"/>
      <c r="W305" s="2548"/>
      <c r="X305" s="2548"/>
      <c r="Y305" s="2548"/>
      <c r="Z305" s="2548"/>
      <c r="AA305" s="2548"/>
      <c r="AB305" s="2548"/>
      <c r="AC305" s="2548"/>
      <c r="AD305" s="254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9"/>
      <c r="G306" s="2570"/>
      <c r="H306" s="2570"/>
      <c r="I306" s="2570"/>
      <c r="J306" s="2570"/>
      <c r="K306" s="2570"/>
      <c r="L306" s="2570"/>
      <c r="M306" s="2570"/>
      <c r="N306" s="2570"/>
      <c r="O306" s="2570"/>
      <c r="P306" s="2570"/>
      <c r="Q306" s="2570"/>
      <c r="R306" s="2570"/>
      <c r="S306" s="2570"/>
      <c r="T306" s="2570"/>
      <c r="U306" s="2570"/>
      <c r="V306" s="2570"/>
      <c r="W306" s="2570"/>
      <c r="X306" s="2570"/>
      <c r="Y306" s="2570"/>
      <c r="Z306" s="2570"/>
      <c r="AA306" s="2570"/>
      <c r="AB306" s="2570"/>
      <c r="AC306" s="2570"/>
      <c r="AD306" s="257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39" t="s">
        <v>1390</v>
      </c>
      <c r="B310" s="1639"/>
      <c r="C310" s="2445" t="s">
        <v>592</v>
      </c>
      <c r="D310" s="2445"/>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t="13" hidden="1">
      <c r="A311" s="89"/>
      <c r="B311" s="89"/>
      <c r="C311" s="730"/>
      <c r="D311" s="730"/>
      <c r="E311" s="547"/>
      <c r="F311" s="2423" t="s">
        <v>2028</v>
      </c>
      <c r="G311" s="2424"/>
      <c r="H311" s="2424"/>
      <c r="I311" s="2424"/>
      <c r="J311" s="2424"/>
      <c r="K311" s="2424"/>
      <c r="L311" s="2424"/>
      <c r="M311" s="2424"/>
      <c r="N311" s="2424"/>
      <c r="O311" s="2424"/>
      <c r="P311" s="2424"/>
      <c r="Q311" s="2424"/>
      <c r="R311" s="2424"/>
      <c r="S311" s="2424"/>
      <c r="T311" s="2424"/>
      <c r="U311" s="2424"/>
      <c r="V311" s="2424"/>
      <c r="W311" s="2424"/>
      <c r="X311" s="2424"/>
      <c r="Y311" s="2424"/>
      <c r="Z311" s="2424"/>
      <c r="AA311" s="2424"/>
      <c r="AB311" s="2424"/>
      <c r="AC311" s="2424"/>
      <c r="AD311" s="2425"/>
      <c r="AE311" s="551"/>
      <c r="AF311" s="551"/>
      <c r="AG311" s="539"/>
      <c r="AH311" s="551"/>
      <c r="AI311" s="551"/>
      <c r="AJ311" s="550"/>
      <c r="AK311" s="550"/>
      <c r="AL311" s="550"/>
      <c r="AM311" s="550"/>
      <c r="AN311" s="73"/>
      <c r="AO311" s="14"/>
      <c r="AP311" s="557" t="s">
        <v>1185</v>
      </c>
    </row>
    <row r="312" spans="1:44" hidden="1">
      <c r="F312" s="2423"/>
      <c r="G312" s="2424"/>
      <c r="H312" s="2424"/>
      <c r="I312" s="2424"/>
      <c r="J312" s="2424"/>
      <c r="K312" s="2424"/>
      <c r="L312" s="2424"/>
      <c r="M312" s="2424"/>
      <c r="N312" s="2424"/>
      <c r="O312" s="2424"/>
      <c r="P312" s="2424"/>
      <c r="Q312" s="2424"/>
      <c r="R312" s="2424"/>
      <c r="S312" s="2424"/>
      <c r="T312" s="2424"/>
      <c r="U312" s="2424"/>
      <c r="V312" s="2424"/>
      <c r="W312" s="2424"/>
      <c r="X312" s="2424"/>
      <c r="Y312" s="2424"/>
      <c r="Z312" s="2424"/>
      <c r="AA312" s="2424"/>
      <c r="AB312" s="2424"/>
      <c r="AC312" s="2424"/>
      <c r="AD312" s="2425"/>
      <c r="AE312" s="551"/>
      <c r="AF312" s="551"/>
      <c r="AH312" s="551"/>
      <c r="AI312" s="551"/>
      <c r="AJ312" s="550"/>
      <c r="AK312" s="550"/>
      <c r="AL312" s="550"/>
      <c r="AM312" s="550"/>
      <c r="AN312" s="73"/>
      <c r="AO312" s="14"/>
      <c r="AP312" s="557" t="s">
        <v>1731</v>
      </c>
    </row>
    <row r="313" spans="1:44" ht="13"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0" t="s">
        <v>1185</v>
      </c>
      <c r="G316" s="2551"/>
      <c r="H316" s="2551"/>
      <c r="I316" s="2551"/>
      <c r="J316" s="2551"/>
      <c r="K316" s="2551"/>
      <c r="L316" s="2551"/>
      <c r="M316" s="2551"/>
      <c r="N316" s="2551"/>
      <c r="O316" s="2551"/>
      <c r="P316" s="2551"/>
      <c r="Q316" s="2551"/>
      <c r="R316" s="2551"/>
      <c r="S316" s="2551"/>
      <c r="T316" s="2551"/>
      <c r="U316" s="2551"/>
      <c r="V316" s="2551"/>
      <c r="W316" s="2551"/>
      <c r="X316" s="2551"/>
      <c r="Y316" s="2551"/>
      <c r="Z316" s="2551"/>
      <c r="AA316" s="2551"/>
      <c r="AB316" s="2551"/>
      <c r="AC316" s="2551"/>
      <c r="AD316" s="2552"/>
      <c r="AE316" s="642"/>
      <c r="AF316" s="642"/>
      <c r="AG316" s="642"/>
      <c r="AH316" s="642"/>
      <c r="AI316" s="642"/>
      <c r="AJ316" s="642"/>
      <c r="AK316" s="642"/>
      <c r="AL316" s="550"/>
      <c r="AM316" s="550"/>
      <c r="AN316" s="73"/>
      <c r="AO316" s="14"/>
      <c r="AP316" s="30"/>
    </row>
    <row r="317" spans="1:44" ht="13" hidden="1">
      <c r="A317" s="550"/>
      <c r="B317" s="551"/>
      <c r="C317" s="730"/>
      <c r="D317" s="730"/>
      <c r="E317" s="547"/>
      <c r="F317" s="2550"/>
      <c r="G317" s="2551"/>
      <c r="H317" s="2551"/>
      <c r="I317" s="2551"/>
      <c r="J317" s="2551"/>
      <c r="K317" s="2551"/>
      <c r="L317" s="2551"/>
      <c r="M317" s="2551"/>
      <c r="N317" s="2551"/>
      <c r="O317" s="2551"/>
      <c r="P317" s="2551"/>
      <c r="Q317" s="2551"/>
      <c r="R317" s="2551"/>
      <c r="S317" s="2551"/>
      <c r="T317" s="2551"/>
      <c r="U317" s="2551"/>
      <c r="V317" s="2551"/>
      <c r="W317" s="2551"/>
      <c r="X317" s="2551"/>
      <c r="Y317" s="2551"/>
      <c r="Z317" s="2551"/>
      <c r="AA317" s="2551"/>
      <c r="AB317" s="2551"/>
      <c r="AC317" s="2551"/>
      <c r="AD317" s="2552"/>
      <c r="AE317" s="551"/>
      <c r="AF317" s="551"/>
      <c r="AG317" s="539"/>
      <c r="AH317" s="551"/>
      <c r="AI317" s="551"/>
      <c r="AJ317" s="550"/>
      <c r="AK317" s="550"/>
      <c r="AL317" s="550"/>
      <c r="AM317" s="550"/>
      <c r="AN317" s="73"/>
      <c r="AO317" s="14"/>
      <c r="AP317" s="30"/>
    </row>
    <row r="318" spans="1:44" ht="13" hidden="1">
      <c r="A318" s="550"/>
      <c r="B318" s="551"/>
      <c r="C318" s="730"/>
      <c r="D318" s="730"/>
      <c r="E318" s="547"/>
      <c r="F318" s="2550"/>
      <c r="G318" s="2551"/>
      <c r="H318" s="2551"/>
      <c r="I318" s="2551"/>
      <c r="J318" s="2551"/>
      <c r="K318" s="2551"/>
      <c r="L318" s="2551"/>
      <c r="M318" s="2551"/>
      <c r="N318" s="2551"/>
      <c r="O318" s="2551"/>
      <c r="P318" s="2551"/>
      <c r="Q318" s="2551"/>
      <c r="R318" s="2551"/>
      <c r="S318" s="2551"/>
      <c r="T318" s="2551"/>
      <c r="U318" s="2551"/>
      <c r="V318" s="2551"/>
      <c r="W318" s="2551"/>
      <c r="X318" s="2551"/>
      <c r="Y318" s="2551"/>
      <c r="Z318" s="2551"/>
      <c r="AA318" s="2551"/>
      <c r="AB318" s="2551"/>
      <c r="AC318" s="2551"/>
      <c r="AD318" s="2552"/>
      <c r="AE318" s="551"/>
      <c r="AF318" s="551"/>
      <c r="AG318" s="539"/>
      <c r="AH318" s="551"/>
      <c r="AI318" s="551"/>
      <c r="AJ318" s="550"/>
      <c r="AK318" s="550"/>
      <c r="AL318" s="550"/>
      <c r="AM318" s="550"/>
      <c r="AN318" s="73"/>
      <c r="AO318" s="14"/>
      <c r="AP318" s="30"/>
    </row>
    <row r="319" spans="1:44" ht="13" hidden="1">
      <c r="A319" s="550"/>
      <c r="B319" s="551"/>
      <c r="C319" s="730"/>
      <c r="D319" s="730"/>
      <c r="E319" s="547"/>
      <c r="F319" s="2550"/>
      <c r="G319" s="2551"/>
      <c r="H319" s="2551"/>
      <c r="I319" s="2551"/>
      <c r="J319" s="2551"/>
      <c r="K319" s="2551"/>
      <c r="L319" s="2551"/>
      <c r="M319" s="2551"/>
      <c r="N319" s="2551"/>
      <c r="O319" s="2551"/>
      <c r="P319" s="2551"/>
      <c r="Q319" s="2551"/>
      <c r="R319" s="2551"/>
      <c r="S319" s="2551"/>
      <c r="T319" s="2551"/>
      <c r="U319" s="2551"/>
      <c r="V319" s="2551"/>
      <c r="W319" s="2551"/>
      <c r="X319" s="2551"/>
      <c r="Y319" s="2551"/>
      <c r="Z319" s="2551"/>
      <c r="AA319" s="2551"/>
      <c r="AB319" s="2551"/>
      <c r="AC319" s="2551"/>
      <c r="AD319" s="2552"/>
      <c r="AE319" s="551"/>
      <c r="AF319" s="551"/>
      <c r="AG319" s="539"/>
      <c r="AH319" s="551"/>
      <c r="AI319" s="551"/>
      <c r="AJ319" s="550"/>
      <c r="AK319" s="550"/>
      <c r="AL319" s="550"/>
      <c r="AM319" s="550"/>
      <c r="AN319" s="73"/>
      <c r="AO319" s="14"/>
      <c r="AP319" s="30"/>
    </row>
    <row r="320" spans="1:44" ht="13" hidden="1">
      <c r="A320" s="550"/>
      <c r="B320" s="551"/>
      <c r="C320" s="730"/>
      <c r="D320" s="730"/>
      <c r="E320" s="547"/>
      <c r="F320" s="2553"/>
      <c r="G320" s="2554"/>
      <c r="H320" s="2554"/>
      <c r="I320" s="2554"/>
      <c r="J320" s="2554"/>
      <c r="K320" s="2554"/>
      <c r="L320" s="2554"/>
      <c r="M320" s="2554"/>
      <c r="N320" s="2554"/>
      <c r="O320" s="2554"/>
      <c r="P320" s="2554"/>
      <c r="Q320" s="2554"/>
      <c r="R320" s="2554"/>
      <c r="S320" s="2554"/>
      <c r="T320" s="2554"/>
      <c r="U320" s="2554"/>
      <c r="V320" s="2554"/>
      <c r="W320" s="2554"/>
      <c r="X320" s="2554"/>
      <c r="Y320" s="2554"/>
      <c r="Z320" s="2554"/>
      <c r="AA320" s="2554"/>
      <c r="AB320" s="2554"/>
      <c r="AC320" s="2554"/>
      <c r="AD320" s="2555"/>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6" t="s">
        <v>1185</v>
      </c>
      <c r="J324" s="2556"/>
      <c r="K324" s="2556"/>
      <c r="L324" s="2556"/>
      <c r="M324" s="2556"/>
      <c r="N324" s="2556"/>
      <c r="O324" s="2556"/>
      <c r="P324" s="2556"/>
      <c r="Q324" s="2556"/>
      <c r="R324" s="2556"/>
      <c r="S324" s="2556"/>
      <c r="T324" s="2556"/>
      <c r="U324" s="2556"/>
      <c r="V324" s="2556"/>
      <c r="W324" s="2556"/>
      <c r="X324" s="2556"/>
      <c r="Y324" s="2556"/>
      <c r="Z324" s="2556"/>
      <c r="AA324" s="2556"/>
      <c r="AB324" s="2556"/>
      <c r="AC324" s="2556"/>
      <c r="AD324" s="2557"/>
      <c r="AE324" s="551"/>
      <c r="AF324" s="551"/>
      <c r="AG324" s="539"/>
      <c r="AH324" s="551"/>
      <c r="AI324" s="551"/>
      <c r="AJ324" s="550"/>
      <c r="AK324" s="550"/>
      <c r="AL324" s="550"/>
      <c r="AM324" s="550"/>
      <c r="AN324" s="73"/>
      <c r="AO324" s="14"/>
      <c r="AP324" s="557" t="s">
        <v>1638</v>
      </c>
    </row>
    <row r="325" spans="1:42" ht="13" hidden="1">
      <c r="A325" s="550"/>
      <c r="B325" s="551"/>
      <c r="C325" s="730"/>
      <c r="D325" s="730"/>
      <c r="E325" s="547"/>
      <c r="F325" s="656"/>
      <c r="G325" s="575"/>
      <c r="H325" s="575"/>
      <c r="I325" s="2556"/>
      <c r="J325" s="2556"/>
      <c r="K325" s="2556"/>
      <c r="L325" s="2556"/>
      <c r="M325" s="2556"/>
      <c r="N325" s="2556"/>
      <c r="O325" s="2556"/>
      <c r="P325" s="2556"/>
      <c r="Q325" s="2556"/>
      <c r="R325" s="2556"/>
      <c r="S325" s="2556"/>
      <c r="T325" s="2556"/>
      <c r="U325" s="2556"/>
      <c r="V325" s="2556"/>
      <c r="W325" s="2556"/>
      <c r="X325" s="2556"/>
      <c r="Y325" s="2556"/>
      <c r="Z325" s="2556"/>
      <c r="AA325" s="2556"/>
      <c r="AB325" s="2556"/>
      <c r="AC325" s="2556"/>
      <c r="AD325" s="2557"/>
      <c r="AE325" s="551"/>
      <c r="AF325" s="551"/>
      <c r="AG325" s="539"/>
      <c r="AH325" s="551"/>
      <c r="AI325" s="551"/>
      <c r="AJ325" s="550"/>
      <c r="AK325" s="550"/>
      <c r="AL325" s="550"/>
      <c r="AM325" s="550"/>
      <c r="AN325" s="73"/>
      <c r="AO325" s="14"/>
      <c r="AP325" s="557" t="s">
        <v>1734</v>
      </c>
    </row>
    <row r="326" spans="1:42" ht="13" hidden="1">
      <c r="A326" s="550"/>
      <c r="B326" s="551"/>
      <c r="C326" s="651"/>
      <c r="D326" s="651"/>
      <c r="E326" s="547"/>
      <c r="F326" s="656"/>
      <c r="G326" s="575"/>
      <c r="H326" s="575"/>
      <c r="I326" s="2556"/>
      <c r="J326" s="2556"/>
      <c r="K326" s="2556"/>
      <c r="L326" s="2556"/>
      <c r="M326" s="2556"/>
      <c r="N326" s="2556"/>
      <c r="O326" s="2556"/>
      <c r="P326" s="2556"/>
      <c r="Q326" s="2556"/>
      <c r="R326" s="2556"/>
      <c r="S326" s="2556"/>
      <c r="T326" s="2556"/>
      <c r="U326" s="2556"/>
      <c r="V326" s="2556"/>
      <c r="W326" s="2556"/>
      <c r="X326" s="2556"/>
      <c r="Y326" s="2556"/>
      <c r="Z326" s="2556"/>
      <c r="AA326" s="2556"/>
      <c r="AB326" s="2556"/>
      <c r="AC326" s="2556"/>
      <c r="AD326" s="2557"/>
      <c r="AE326" s="551"/>
      <c r="AF326" s="551"/>
      <c r="AG326" s="539"/>
      <c r="AH326" s="551"/>
      <c r="AI326" s="551"/>
      <c r="AJ326" s="550"/>
      <c r="AK326" s="550"/>
      <c r="AL326" s="550"/>
      <c r="AM326" s="550"/>
      <c r="AN326" s="73"/>
      <c r="AO326" s="14"/>
      <c r="AP326" s="557" t="s">
        <v>1736</v>
      </c>
    </row>
    <row r="327" spans="1:42" ht="13" hidden="1">
      <c r="A327" s="550"/>
      <c r="B327" s="551"/>
      <c r="C327" s="651"/>
      <c r="D327" s="651"/>
      <c r="E327" s="547"/>
      <c r="F327" s="654"/>
      <c r="G327" s="551"/>
      <c r="H327" s="551"/>
      <c r="I327" s="2558"/>
      <c r="J327" s="2558"/>
      <c r="K327" s="2558"/>
      <c r="L327" s="2558"/>
      <c r="M327" s="2558"/>
      <c r="N327" s="2558"/>
      <c r="O327" s="2558"/>
      <c r="P327" s="2558"/>
      <c r="Q327" s="2558"/>
      <c r="R327" s="2558"/>
      <c r="S327" s="2558"/>
      <c r="T327" s="2558"/>
      <c r="U327" s="2558"/>
      <c r="V327" s="2558"/>
      <c r="W327" s="2558"/>
      <c r="X327" s="2558"/>
      <c r="Y327" s="2558"/>
      <c r="Z327" s="2558"/>
      <c r="AA327" s="2558"/>
      <c r="AB327" s="2558"/>
      <c r="AC327" s="2558"/>
      <c r="AD327" s="2559"/>
      <c r="AE327" s="551"/>
      <c r="AF327" s="551"/>
      <c r="AG327" s="539"/>
      <c r="AH327" s="551"/>
      <c r="AI327" s="551"/>
      <c r="AJ327" s="550"/>
      <c r="AK327" s="550"/>
      <c r="AL327" s="550"/>
      <c r="AM327" s="550"/>
      <c r="AN327" s="73"/>
      <c r="AO327" s="14"/>
      <c r="AP327" s="557" t="s">
        <v>1735</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510</v>
      </c>
      <c r="H329" s="551"/>
      <c r="I329" s="2556" t="s">
        <v>1185</v>
      </c>
      <c r="J329" s="2556"/>
      <c r="K329" s="2556"/>
      <c r="L329" s="2556"/>
      <c r="M329" s="2556"/>
      <c r="N329" s="2556"/>
      <c r="O329" s="2556"/>
      <c r="P329" s="2556"/>
      <c r="Q329" s="2556"/>
      <c r="R329" s="2556"/>
      <c r="S329" s="2556"/>
      <c r="T329" s="2556"/>
      <c r="U329" s="2556"/>
      <c r="V329" s="2556"/>
      <c r="W329" s="2556"/>
      <c r="X329" s="2556"/>
      <c r="Y329" s="2556"/>
      <c r="Z329" s="2556"/>
      <c r="AA329" s="2556"/>
      <c r="AB329" s="2556"/>
      <c r="AC329" s="2556"/>
      <c r="AD329" s="2557"/>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6"/>
      <c r="J330" s="2556"/>
      <c r="K330" s="2556"/>
      <c r="L330" s="2556"/>
      <c r="M330" s="2556"/>
      <c r="N330" s="2556"/>
      <c r="O330" s="2556"/>
      <c r="P330" s="2556"/>
      <c r="Q330" s="2556"/>
      <c r="R330" s="2556"/>
      <c r="S330" s="2556"/>
      <c r="T330" s="2556"/>
      <c r="U330" s="2556"/>
      <c r="V330" s="2556"/>
      <c r="W330" s="2556"/>
      <c r="X330" s="2556"/>
      <c r="Y330" s="2556"/>
      <c r="Z330" s="2556"/>
      <c r="AA330" s="2556"/>
      <c r="AB330" s="2556"/>
      <c r="AC330" s="2556"/>
      <c r="AD330" s="2557"/>
      <c r="AE330" s="551"/>
      <c r="AF330" s="551"/>
      <c r="AG330" s="539"/>
      <c r="AH330" s="551"/>
      <c r="AI330" s="551"/>
      <c r="AJ330" s="550"/>
      <c r="AK330" s="550"/>
      <c r="AL330" s="550"/>
      <c r="AM330" s="550"/>
      <c r="AN330" s="73"/>
      <c r="AO330" s="14"/>
      <c r="AP330" s="557" t="s">
        <v>1185</v>
      </c>
    </row>
    <row r="331" spans="1:42" ht="13" hidden="1">
      <c r="A331" s="550"/>
      <c r="B331" s="551"/>
      <c r="C331" s="651"/>
      <c r="D331" s="651"/>
      <c r="E331" s="547"/>
      <c r="F331" s="657"/>
      <c r="G331" s="658"/>
      <c r="H331" s="658"/>
      <c r="I331" s="2558"/>
      <c r="J331" s="2558"/>
      <c r="K331" s="2558"/>
      <c r="L331" s="2558"/>
      <c r="M331" s="2558"/>
      <c r="N331" s="2558"/>
      <c r="O331" s="2558"/>
      <c r="P331" s="2558"/>
      <c r="Q331" s="2558"/>
      <c r="R331" s="2558"/>
      <c r="S331" s="2558"/>
      <c r="T331" s="2558"/>
      <c r="U331" s="2558"/>
      <c r="V331" s="2558"/>
      <c r="W331" s="2558"/>
      <c r="X331" s="2558"/>
      <c r="Y331" s="2558"/>
      <c r="Z331" s="2558"/>
      <c r="AA331" s="2558"/>
      <c r="AB331" s="2558"/>
      <c r="AC331" s="2558"/>
      <c r="AD331" s="2559"/>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9" t="s">
        <v>1393</v>
      </c>
      <c r="B333" s="1639"/>
      <c r="C333" s="2445" t="s">
        <v>592</v>
      </c>
      <c r="D333" s="2445"/>
      <c r="E333" s="547"/>
      <c r="F333" s="2544" t="s">
        <v>2029</v>
      </c>
      <c r="G333" s="2545"/>
      <c r="H333" s="2545"/>
      <c r="I333" s="2545"/>
      <c r="J333" s="2545"/>
      <c r="K333" s="2545"/>
      <c r="L333" s="2545"/>
      <c r="M333" s="2545"/>
      <c r="N333" s="2545"/>
      <c r="O333" s="2545"/>
      <c r="P333" s="2545"/>
      <c r="Q333" s="2545"/>
      <c r="R333" s="2545"/>
      <c r="S333" s="2545"/>
      <c r="T333" s="2545"/>
      <c r="U333" s="2545"/>
      <c r="V333" s="2545"/>
      <c r="W333" s="2545"/>
      <c r="X333" s="2545"/>
      <c r="Y333" s="2545"/>
      <c r="Z333" s="2545"/>
      <c r="AA333" s="2545"/>
      <c r="AB333" s="2545"/>
      <c r="AC333" s="2545"/>
      <c r="AD333" s="2546"/>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7"/>
      <c r="G334" s="2548"/>
      <c r="H334" s="2548"/>
      <c r="I334" s="2548"/>
      <c r="J334" s="2548"/>
      <c r="K334" s="2548"/>
      <c r="L334" s="2548"/>
      <c r="M334" s="2548"/>
      <c r="N334" s="2548"/>
      <c r="O334" s="2548"/>
      <c r="P334" s="2548"/>
      <c r="Q334" s="2548"/>
      <c r="R334" s="2548"/>
      <c r="S334" s="2548"/>
      <c r="T334" s="2548"/>
      <c r="U334" s="2548"/>
      <c r="V334" s="2548"/>
      <c r="W334" s="2548"/>
      <c r="X334" s="2548"/>
      <c r="Y334" s="2548"/>
      <c r="Z334" s="2548"/>
      <c r="AA334" s="2548"/>
      <c r="AB334" s="2548"/>
      <c r="AC334" s="2548"/>
      <c r="AD334" s="2549"/>
      <c r="AE334" s="551"/>
      <c r="AF334" s="551"/>
      <c r="AG334" s="551"/>
      <c r="AH334" s="551"/>
      <c r="AI334" s="551"/>
      <c r="AJ334" s="550"/>
      <c r="AK334" s="550"/>
      <c r="AL334" s="550"/>
      <c r="AM334" s="550"/>
      <c r="AN334" s="73"/>
      <c r="AO334" s="14"/>
    </row>
    <row r="335" spans="1:42" ht="15" hidden="1" customHeight="1">
      <c r="A335" s="550"/>
      <c r="B335" s="551"/>
      <c r="C335" s="551"/>
      <c r="D335" s="551"/>
      <c r="E335" s="551"/>
      <c r="F335" s="2547"/>
      <c r="G335" s="2548"/>
      <c r="H335" s="2548"/>
      <c r="I335" s="2548"/>
      <c r="J335" s="2548"/>
      <c r="K335" s="2548"/>
      <c r="L335" s="2548"/>
      <c r="M335" s="2548"/>
      <c r="N335" s="2548"/>
      <c r="O335" s="2548"/>
      <c r="P335" s="2548"/>
      <c r="Q335" s="2548"/>
      <c r="R335" s="2548"/>
      <c r="S335" s="2548"/>
      <c r="T335" s="2548"/>
      <c r="U335" s="2548"/>
      <c r="V335" s="2548"/>
      <c r="W335" s="2548"/>
      <c r="X335" s="2548"/>
      <c r="Y335" s="2548"/>
      <c r="Z335" s="2548"/>
      <c r="AA335" s="2548"/>
      <c r="AB335" s="2548"/>
      <c r="AC335" s="2548"/>
      <c r="AD335" s="2549"/>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31">
        <f>IF(NOT(OR(Application!M355="Yes",Application!M356="Yes")),0,AP295)</f>
        <v>10</v>
      </c>
      <c r="AL338" s="2432"/>
      <c r="AM338" s="243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64" t="s">
        <v>1315</v>
      </c>
      <c r="AF341" s="2464"/>
      <c r="AG341" s="2464"/>
      <c r="AH341" s="2464"/>
      <c r="AI341" s="2464"/>
      <c r="AJ341" s="2464"/>
      <c r="AK341" s="246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0" t="s">
        <v>1455</v>
      </c>
      <c r="D343" s="2440"/>
      <c r="E343" s="2440"/>
      <c r="F343" s="2440"/>
      <c r="G343" s="2440"/>
      <c r="H343" s="2440"/>
      <c r="I343" s="2440"/>
      <c r="J343" s="2440"/>
      <c r="K343" s="2440"/>
      <c r="L343" s="2440"/>
      <c r="M343" s="2440"/>
      <c r="N343" s="2440"/>
      <c r="O343" s="2440"/>
      <c r="P343" s="2440"/>
      <c r="Q343" s="2440"/>
      <c r="R343" s="2440"/>
      <c r="S343" s="2440"/>
      <c r="T343" s="2440"/>
      <c r="U343" s="2440"/>
      <c r="V343" s="2440"/>
      <c r="W343" s="2440"/>
      <c r="X343" s="2440"/>
      <c r="Y343" s="2440"/>
      <c r="Z343" s="2440"/>
      <c r="AA343" s="2440"/>
      <c r="AB343" s="2440"/>
      <c r="AC343" s="2440"/>
      <c r="AD343" s="2440"/>
      <c r="AE343" s="2440"/>
      <c r="AF343" s="2440"/>
      <c r="AG343" s="2440"/>
      <c r="AH343" s="2440"/>
      <c r="AI343" s="2440"/>
      <c r="AJ343" s="2440"/>
      <c r="AK343" s="603"/>
      <c r="AL343" s="603"/>
      <c r="AM343" s="603"/>
      <c r="AN343" s="597"/>
    </row>
    <row r="344" spans="1:44" s="550" customFormat="1" ht="12.75" customHeight="1">
      <c r="A344" s="603"/>
      <c r="B344" s="611"/>
      <c r="C344" s="2440"/>
      <c r="D344" s="2440"/>
      <c r="E344" s="2440"/>
      <c r="F344" s="2440"/>
      <c r="G344" s="2440"/>
      <c r="H344" s="2440"/>
      <c r="I344" s="2440"/>
      <c r="J344" s="2440"/>
      <c r="K344" s="2440"/>
      <c r="L344" s="2440"/>
      <c r="M344" s="2440"/>
      <c r="N344" s="2440"/>
      <c r="O344" s="2440"/>
      <c r="P344" s="2440"/>
      <c r="Q344" s="2440"/>
      <c r="R344" s="2440"/>
      <c r="S344" s="2440"/>
      <c r="T344" s="2440"/>
      <c r="U344" s="2440"/>
      <c r="V344" s="2440"/>
      <c r="W344" s="2440"/>
      <c r="X344" s="2440"/>
      <c r="Y344" s="2440"/>
      <c r="Z344" s="2440"/>
      <c r="AA344" s="2440"/>
      <c r="AB344" s="2440"/>
      <c r="AC344" s="2440"/>
      <c r="AD344" s="2440"/>
      <c r="AE344" s="2440"/>
      <c r="AF344" s="2440"/>
      <c r="AG344" s="2440"/>
      <c r="AH344" s="2440"/>
      <c r="AI344" s="2440"/>
      <c r="AJ344" s="2440"/>
      <c r="AK344" s="603"/>
      <c r="AL344" s="603"/>
      <c r="AM344" s="603"/>
      <c r="AN344" s="597"/>
    </row>
    <row r="345" spans="1:44" s="550" customFormat="1" ht="12.75" customHeight="1">
      <c r="A345" s="603"/>
      <c r="B345" s="611"/>
      <c r="C345" s="2440"/>
      <c r="D345" s="2440"/>
      <c r="E345" s="2440"/>
      <c r="F345" s="2440"/>
      <c r="G345" s="2440"/>
      <c r="H345" s="2440"/>
      <c r="I345" s="2440"/>
      <c r="J345" s="2440"/>
      <c r="K345" s="2440"/>
      <c r="L345" s="2440"/>
      <c r="M345" s="2440"/>
      <c r="N345" s="2440"/>
      <c r="O345" s="2440"/>
      <c r="P345" s="2440"/>
      <c r="Q345" s="2440"/>
      <c r="R345" s="2440"/>
      <c r="S345" s="2440"/>
      <c r="T345" s="2440"/>
      <c r="U345" s="2440"/>
      <c r="V345" s="2440"/>
      <c r="W345" s="2440"/>
      <c r="X345" s="2440"/>
      <c r="Y345" s="2440"/>
      <c r="Z345" s="2440"/>
      <c r="AA345" s="2440"/>
      <c r="AB345" s="2440"/>
      <c r="AC345" s="2440"/>
      <c r="AD345" s="2440"/>
      <c r="AE345" s="2440"/>
      <c r="AF345" s="2440"/>
      <c r="AG345" s="2440"/>
      <c r="AH345" s="2440"/>
      <c r="AI345" s="2440"/>
      <c r="AJ345" s="2440"/>
      <c r="AK345" s="603"/>
      <c r="AL345" s="603"/>
      <c r="AM345" s="603"/>
      <c r="AN345" s="597"/>
      <c r="AQ345" s="570"/>
    </row>
    <row r="346" spans="1:44" s="550" customFormat="1" ht="12.75" customHeight="1">
      <c r="A346" s="603"/>
      <c r="B346" s="611"/>
      <c r="C346" s="2440"/>
      <c r="D346" s="2440"/>
      <c r="E346" s="2440"/>
      <c r="F346" s="2440"/>
      <c r="G346" s="2440"/>
      <c r="H346" s="2440"/>
      <c r="I346" s="2440"/>
      <c r="J346" s="2440"/>
      <c r="K346" s="2440"/>
      <c r="L346" s="2440"/>
      <c r="M346" s="2440"/>
      <c r="N346" s="2440"/>
      <c r="O346" s="2440"/>
      <c r="P346" s="2440"/>
      <c r="Q346" s="2440"/>
      <c r="R346" s="2440"/>
      <c r="S346" s="2440"/>
      <c r="T346" s="2440"/>
      <c r="U346" s="2440"/>
      <c r="V346" s="2440"/>
      <c r="W346" s="2440"/>
      <c r="X346" s="2440"/>
      <c r="Y346" s="2440"/>
      <c r="Z346" s="2440"/>
      <c r="AA346" s="2440"/>
      <c r="AB346" s="2440"/>
      <c r="AC346" s="2440"/>
      <c r="AD346" s="2440"/>
      <c r="AE346" s="2440"/>
      <c r="AF346" s="2440"/>
      <c r="AG346" s="2440"/>
      <c r="AH346" s="2440"/>
      <c r="AI346" s="2440"/>
      <c r="AJ346" s="2440"/>
      <c r="AK346" s="603"/>
      <c r="AL346" s="603"/>
      <c r="AM346" s="603"/>
      <c r="AN346" s="597"/>
      <c r="AQ346" s="570"/>
    </row>
    <row r="347" spans="1:44" s="550" customFormat="1" ht="12.4" customHeight="1">
      <c r="A347" s="603"/>
      <c r="B347" s="611"/>
      <c r="C347" s="2440"/>
      <c r="D347" s="2440"/>
      <c r="E347" s="2440"/>
      <c r="F347" s="2440"/>
      <c r="G347" s="2440"/>
      <c r="H347" s="2440"/>
      <c r="I347" s="2440"/>
      <c r="J347" s="2440"/>
      <c r="K347" s="2440"/>
      <c r="L347" s="2440"/>
      <c r="M347" s="2440"/>
      <c r="N347" s="2440"/>
      <c r="O347" s="2440"/>
      <c r="P347" s="2440"/>
      <c r="Q347" s="2440"/>
      <c r="R347" s="2440"/>
      <c r="S347" s="2440"/>
      <c r="T347" s="2440"/>
      <c r="U347" s="2440"/>
      <c r="V347" s="2440"/>
      <c r="W347" s="2440"/>
      <c r="X347" s="2440"/>
      <c r="Y347" s="2440"/>
      <c r="Z347" s="2440"/>
      <c r="AA347" s="2440"/>
      <c r="AB347" s="2440"/>
      <c r="AC347" s="2440"/>
      <c r="AD347" s="2440"/>
      <c r="AE347" s="2440"/>
      <c r="AF347" s="2440"/>
      <c r="AG347" s="2440"/>
      <c r="AH347" s="2440"/>
      <c r="AI347" s="2440"/>
      <c r="AJ347" s="2440"/>
      <c r="AK347" s="603"/>
      <c r="AL347" s="603"/>
      <c r="AM347" s="603"/>
      <c r="AN347" s="597"/>
      <c r="AQ347" s="570"/>
      <c r="AR347" s="570"/>
    </row>
    <row r="348" spans="1:44" s="550" customFormat="1" ht="45.75" customHeight="1">
      <c r="A348" s="603"/>
      <c r="B348" s="611"/>
      <c r="C348" s="2440" t="s">
        <v>2094</v>
      </c>
      <c r="D348" s="2440"/>
      <c r="E348" s="2440"/>
      <c r="F348" s="2440"/>
      <c r="G348" s="2440"/>
      <c r="H348" s="2440"/>
      <c r="I348" s="2440"/>
      <c r="J348" s="2440"/>
      <c r="K348" s="2440"/>
      <c r="L348" s="2440"/>
      <c r="M348" s="2440"/>
      <c r="N348" s="2440"/>
      <c r="O348" s="2440"/>
      <c r="P348" s="2440"/>
      <c r="Q348" s="2440"/>
      <c r="R348" s="2440"/>
      <c r="S348" s="2440"/>
      <c r="T348" s="2440"/>
      <c r="U348" s="2440"/>
      <c r="V348" s="2440"/>
      <c r="W348" s="2440"/>
      <c r="X348" s="2440"/>
      <c r="Y348" s="2440"/>
      <c r="Z348" s="2440"/>
      <c r="AA348" s="2440"/>
      <c r="AB348" s="2440"/>
      <c r="AC348" s="2440"/>
      <c r="AD348" s="2440"/>
      <c r="AE348" s="2440"/>
      <c r="AF348" s="2440"/>
      <c r="AG348" s="2440"/>
      <c r="AH348" s="2440"/>
      <c r="AI348" s="2440"/>
      <c r="AJ348" s="2440"/>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0" t="s">
        <v>2209</v>
      </c>
      <c r="D350" s="2440"/>
      <c r="E350" s="2440"/>
      <c r="F350" s="2440"/>
      <c r="G350" s="2440"/>
      <c r="H350" s="2440"/>
      <c r="I350" s="2440"/>
      <c r="J350" s="2440"/>
      <c r="K350" s="2440"/>
      <c r="L350" s="2440"/>
      <c r="M350" s="2440"/>
      <c r="N350" s="2440"/>
      <c r="O350" s="2440"/>
      <c r="P350" s="2440"/>
      <c r="Q350" s="2440"/>
      <c r="R350" s="2440"/>
      <c r="S350" s="2440"/>
      <c r="T350" s="2440"/>
      <c r="U350" s="2440"/>
      <c r="V350" s="2440"/>
      <c r="W350" s="2440"/>
      <c r="X350" s="2440"/>
      <c r="Y350" s="2440"/>
      <c r="Z350" s="2440"/>
      <c r="AA350" s="2440"/>
      <c r="AB350" s="2440"/>
      <c r="AC350" s="2440"/>
      <c r="AD350" s="2440"/>
      <c r="AE350" s="2440"/>
      <c r="AF350" s="2440"/>
      <c r="AG350" s="2440"/>
      <c r="AH350" s="2440"/>
      <c r="AI350" s="2440"/>
      <c r="AJ350" s="2440"/>
      <c r="AK350" s="603"/>
      <c r="AL350" s="603"/>
      <c r="AM350" s="603"/>
      <c r="AN350" s="597"/>
      <c r="AQ350" s="570"/>
      <c r="AR350" s="570"/>
    </row>
    <row r="351" spans="1:44" s="550" customFormat="1" ht="30" customHeight="1">
      <c r="A351" s="603"/>
      <c r="B351" s="611"/>
      <c r="C351" s="2440"/>
      <c r="D351" s="2440"/>
      <c r="E351" s="2440"/>
      <c r="F351" s="2440"/>
      <c r="G351" s="2440"/>
      <c r="H351" s="2440"/>
      <c r="I351" s="2440"/>
      <c r="J351" s="2440"/>
      <c r="K351" s="2440"/>
      <c r="L351" s="2440"/>
      <c r="M351" s="2440"/>
      <c r="N351" s="2440"/>
      <c r="O351" s="2440"/>
      <c r="P351" s="2440"/>
      <c r="Q351" s="2440"/>
      <c r="R351" s="2440"/>
      <c r="S351" s="2440"/>
      <c r="T351" s="2440"/>
      <c r="U351" s="2440"/>
      <c r="V351" s="2440"/>
      <c r="W351" s="2440"/>
      <c r="X351" s="2440"/>
      <c r="Y351" s="2440"/>
      <c r="Z351" s="2440"/>
      <c r="AA351" s="2440"/>
      <c r="AB351" s="2440"/>
      <c r="AC351" s="2440"/>
      <c r="AD351" s="2440"/>
      <c r="AE351" s="2440"/>
      <c r="AF351" s="2440"/>
      <c r="AG351" s="2440"/>
      <c r="AH351" s="2440"/>
      <c r="AI351" s="2440"/>
      <c r="AJ351" s="2440"/>
      <c r="AK351" s="603"/>
      <c r="AL351" s="603"/>
      <c r="AM351" s="603"/>
      <c r="AN351" s="597"/>
      <c r="AR351" s="570"/>
    </row>
    <row r="352" spans="1:44" s="550" customFormat="1" ht="12.75" customHeight="1">
      <c r="A352" s="603"/>
      <c r="B352" s="611"/>
      <c r="C352" s="2440"/>
      <c r="D352" s="2440"/>
      <c r="E352" s="2440"/>
      <c r="F352" s="2440"/>
      <c r="G352" s="2440"/>
      <c r="H352" s="2440"/>
      <c r="I352" s="2440"/>
      <c r="J352" s="2440"/>
      <c r="K352" s="2440"/>
      <c r="L352" s="2440"/>
      <c r="M352" s="2440"/>
      <c r="N352" s="2440"/>
      <c r="O352" s="2440"/>
      <c r="P352" s="2440"/>
      <c r="Q352" s="2440"/>
      <c r="R352" s="2440"/>
      <c r="S352" s="2440"/>
      <c r="T352" s="2440"/>
      <c r="U352" s="2440"/>
      <c r="V352" s="2440"/>
      <c r="W352" s="2440"/>
      <c r="X352" s="2440"/>
      <c r="Y352" s="2440"/>
      <c r="Z352" s="2440"/>
      <c r="AA352" s="2440"/>
      <c r="AB352" s="2440"/>
      <c r="AC352" s="2440"/>
      <c r="AD352" s="2440"/>
      <c r="AE352" s="2440"/>
      <c r="AF352" s="2440"/>
      <c r="AG352" s="2440"/>
      <c r="AH352" s="2440"/>
      <c r="AI352" s="2440"/>
      <c r="AJ352" s="2440"/>
      <c r="AK352" s="603"/>
      <c r="AL352" s="603"/>
      <c r="AM352" s="603"/>
      <c r="AN352" s="597"/>
      <c r="AR352" s="570"/>
    </row>
    <row r="353" spans="1:46" s="550" customFormat="1" ht="12.75" customHeight="1">
      <c r="A353" s="603"/>
      <c r="B353" s="611"/>
      <c r="C353" s="2440" t="s">
        <v>1456</v>
      </c>
      <c r="D353" s="2440"/>
      <c r="E353" s="2440"/>
      <c r="F353" s="2440"/>
      <c r="G353" s="2440"/>
      <c r="H353" s="2440"/>
      <c r="I353" s="2440"/>
      <c r="J353" s="2440"/>
      <c r="K353" s="2440"/>
      <c r="L353" s="2440"/>
      <c r="M353" s="2440"/>
      <c r="N353" s="2440"/>
      <c r="O353" s="2440"/>
      <c r="P353" s="2440"/>
      <c r="Q353" s="2440"/>
      <c r="R353" s="2440"/>
      <c r="S353" s="2440"/>
      <c r="T353" s="2440"/>
      <c r="U353" s="2440"/>
      <c r="V353" s="2440"/>
      <c r="W353" s="2440"/>
      <c r="X353" s="2440"/>
      <c r="Y353" s="2440"/>
      <c r="Z353" s="2440"/>
      <c r="AA353" s="2440"/>
      <c r="AB353" s="2440"/>
      <c r="AC353" s="2440"/>
      <c r="AD353" s="2440"/>
      <c r="AE353" s="2440"/>
      <c r="AF353" s="2440"/>
      <c r="AG353" s="2440"/>
      <c r="AH353" s="2440"/>
      <c r="AI353" s="2440"/>
      <c r="AJ353" s="2440"/>
      <c r="AK353" s="603"/>
      <c r="AL353" s="603"/>
      <c r="AM353" s="603"/>
      <c r="AN353" s="597"/>
      <c r="AQ353" s="570"/>
      <c r="AR353" s="570"/>
    </row>
    <row r="354" spans="1:46" s="550" customFormat="1" ht="12.75" customHeight="1">
      <c r="A354" s="603"/>
      <c r="B354" s="611"/>
      <c r="C354" s="2440"/>
      <c r="D354" s="2440"/>
      <c r="E354" s="2440"/>
      <c r="F354" s="2440"/>
      <c r="G354" s="2440"/>
      <c r="H354" s="2440"/>
      <c r="I354" s="2440"/>
      <c r="J354" s="2440"/>
      <c r="K354" s="2440"/>
      <c r="L354" s="2440"/>
      <c r="M354" s="2440"/>
      <c r="N354" s="2440"/>
      <c r="O354" s="2440"/>
      <c r="P354" s="2440"/>
      <c r="Q354" s="2440"/>
      <c r="R354" s="2440"/>
      <c r="S354" s="2440"/>
      <c r="T354" s="2440"/>
      <c r="U354" s="2440"/>
      <c r="V354" s="2440"/>
      <c r="W354" s="2440"/>
      <c r="X354" s="2440"/>
      <c r="Y354" s="2440"/>
      <c r="Z354" s="2440"/>
      <c r="AA354" s="2440"/>
      <c r="AB354" s="2440"/>
      <c r="AC354" s="2440"/>
      <c r="AD354" s="2440"/>
      <c r="AE354" s="2440"/>
      <c r="AF354" s="2440"/>
      <c r="AG354" s="2440"/>
      <c r="AH354" s="2440"/>
      <c r="AI354" s="2440"/>
      <c r="AJ354" s="2440"/>
      <c r="AK354" s="603"/>
      <c r="AL354" s="603"/>
      <c r="AM354" s="603"/>
      <c r="AN354" s="597"/>
      <c r="AQ354" s="570"/>
      <c r="AR354" s="570"/>
    </row>
    <row r="355" spans="1:46" s="550" customFormat="1" ht="13.15" customHeight="1">
      <c r="A355" s="603"/>
      <c r="B355" s="611"/>
      <c r="C355" s="2440"/>
      <c r="D355" s="2440"/>
      <c r="E355" s="2440"/>
      <c r="F355" s="2440"/>
      <c r="G355" s="2440"/>
      <c r="H355" s="2440"/>
      <c r="I355" s="2440"/>
      <c r="J355" s="2440"/>
      <c r="K355" s="2440"/>
      <c r="L355" s="2440"/>
      <c r="M355" s="2440"/>
      <c r="N355" s="2440"/>
      <c r="O355" s="2440"/>
      <c r="P355" s="2440"/>
      <c r="Q355" s="2440"/>
      <c r="R355" s="2440"/>
      <c r="S355" s="2440"/>
      <c r="T355" s="2440"/>
      <c r="U355" s="2440"/>
      <c r="V355" s="2440"/>
      <c r="W355" s="2440"/>
      <c r="X355" s="2440"/>
      <c r="Y355" s="2440"/>
      <c r="Z355" s="2440"/>
      <c r="AA355" s="2440"/>
      <c r="AB355" s="2440"/>
      <c r="AC355" s="2440"/>
      <c r="AD355" s="2440"/>
      <c r="AE355" s="2440"/>
      <c r="AF355" s="2440"/>
      <c r="AG355" s="2440"/>
      <c r="AH355" s="2440"/>
      <c r="AI355" s="2440"/>
      <c r="AJ355" s="2440"/>
      <c r="AK355" s="603"/>
      <c r="AL355" s="603"/>
      <c r="AM355" s="603"/>
      <c r="AN355" s="597"/>
      <c r="AQ355" s="570"/>
      <c r="AR355" s="570"/>
    </row>
    <row r="356" spans="1:46" s="550" customFormat="1" ht="12.75" customHeight="1">
      <c r="A356" s="603"/>
      <c r="B356" s="611"/>
      <c r="C356" s="2440"/>
      <c r="D356" s="2440"/>
      <c r="E356" s="2440"/>
      <c r="F356" s="2440"/>
      <c r="G356" s="2440"/>
      <c r="H356" s="2440"/>
      <c r="I356" s="2440"/>
      <c r="J356" s="2440"/>
      <c r="K356" s="2440"/>
      <c r="L356" s="2440"/>
      <c r="M356" s="2440"/>
      <c r="N356" s="2440"/>
      <c r="O356" s="2440"/>
      <c r="P356" s="2440"/>
      <c r="Q356" s="2440"/>
      <c r="R356" s="2440"/>
      <c r="S356" s="2440"/>
      <c r="T356" s="2440"/>
      <c r="U356" s="2440"/>
      <c r="V356" s="2440"/>
      <c r="W356" s="2440"/>
      <c r="X356" s="2440"/>
      <c r="Y356" s="2440"/>
      <c r="Z356" s="2440"/>
      <c r="AA356" s="2440"/>
      <c r="AB356" s="2440"/>
      <c r="AC356" s="2440"/>
      <c r="AD356" s="2440"/>
      <c r="AE356" s="2440"/>
      <c r="AF356" s="2440"/>
      <c r="AG356" s="2440"/>
      <c r="AH356" s="2440"/>
      <c r="AI356" s="2440"/>
      <c r="AJ356" s="2440"/>
      <c r="AK356" s="603"/>
      <c r="AL356" s="603"/>
      <c r="AM356" s="603"/>
      <c r="AN356" s="597"/>
      <c r="AO356" s="694"/>
      <c r="AP356" s="694"/>
      <c r="AQ356" s="570"/>
    </row>
    <row r="357" spans="1:46" s="550" customFormat="1" ht="11.9" customHeight="1">
      <c r="A357" s="603"/>
      <c r="B357" s="611"/>
      <c r="C357" s="2440"/>
      <c r="D357" s="2440"/>
      <c r="E357" s="2440"/>
      <c r="F357" s="2440"/>
      <c r="G357" s="2440"/>
      <c r="H357" s="2440"/>
      <c r="I357" s="2440"/>
      <c r="J357" s="2440"/>
      <c r="K357" s="2440"/>
      <c r="L357" s="2440"/>
      <c r="M357" s="2440"/>
      <c r="N357" s="2440"/>
      <c r="O357" s="2440"/>
      <c r="P357" s="2440"/>
      <c r="Q357" s="2440"/>
      <c r="R357" s="2440"/>
      <c r="S357" s="2440"/>
      <c r="T357" s="2440"/>
      <c r="U357" s="2440"/>
      <c r="V357" s="2440"/>
      <c r="W357" s="2440"/>
      <c r="X357" s="2440"/>
      <c r="Y357" s="2440"/>
      <c r="Z357" s="2440"/>
      <c r="AA357" s="2440"/>
      <c r="AB357" s="2440"/>
      <c r="AC357" s="2440"/>
      <c r="AD357" s="2440"/>
      <c r="AE357" s="2440"/>
      <c r="AF357" s="2440"/>
      <c r="AG357" s="2440"/>
      <c r="AH357" s="2440"/>
      <c r="AI357" s="2440"/>
      <c r="AJ357" s="2440"/>
      <c r="AK357" s="603"/>
      <c r="AL357" s="603"/>
      <c r="AM357" s="603"/>
      <c r="AN357" s="597"/>
      <c r="AO357" s="695" t="s">
        <v>112</v>
      </c>
      <c r="AP357" s="696">
        <f>IF(C381="Yes",5,0)</f>
        <v>0</v>
      </c>
      <c r="AS357" s="539" t="s">
        <v>1457</v>
      </c>
    </row>
    <row r="358" spans="1:46" s="550" customFormat="1" ht="12.75" customHeight="1">
      <c r="A358" s="603"/>
      <c r="B358" s="611"/>
      <c r="C358" s="2440"/>
      <c r="D358" s="2440"/>
      <c r="E358" s="2440"/>
      <c r="F358" s="2440"/>
      <c r="G358" s="2440"/>
      <c r="H358" s="2440"/>
      <c r="I358" s="2440"/>
      <c r="J358" s="2440"/>
      <c r="K358" s="2440"/>
      <c r="L358" s="2440"/>
      <c r="M358" s="2440"/>
      <c r="N358" s="2440"/>
      <c r="O358" s="2440"/>
      <c r="P358" s="2440"/>
      <c r="Q358" s="2440"/>
      <c r="R358" s="2440"/>
      <c r="S358" s="2440"/>
      <c r="T358" s="2440"/>
      <c r="U358" s="2440"/>
      <c r="V358" s="2440"/>
      <c r="W358" s="2440"/>
      <c r="X358" s="2440"/>
      <c r="Y358" s="2440"/>
      <c r="Z358" s="2440"/>
      <c r="AA358" s="2440"/>
      <c r="AB358" s="2440"/>
      <c r="AC358" s="2440"/>
      <c r="AD358" s="2440"/>
      <c r="AE358" s="2440"/>
      <c r="AF358" s="2440"/>
      <c r="AG358" s="2440"/>
      <c r="AH358" s="2440"/>
      <c r="AI358" s="2440"/>
      <c r="AJ358" s="2440"/>
      <c r="AK358" s="603"/>
      <c r="AL358" s="603"/>
      <c r="AM358" s="603"/>
      <c r="AN358" s="597"/>
      <c r="AO358" s="695" t="s">
        <v>113</v>
      </c>
      <c r="AP358" s="696">
        <f>IF(C389="Yes",5,0)</f>
        <v>0</v>
      </c>
      <c r="AS358" s="2406">
        <f>IF(Application!D211="Non-Targeted",(SUM(AQ366+AQ375)),AS362)</f>
        <v>10</v>
      </c>
      <c r="AT358" s="2406"/>
    </row>
    <row r="359" spans="1:46" s="550" customFormat="1" ht="12.75" customHeight="1">
      <c r="A359" s="603"/>
      <c r="B359" s="611"/>
      <c r="C359" s="2440"/>
      <c r="D359" s="2440"/>
      <c r="E359" s="2440"/>
      <c r="F359" s="2440"/>
      <c r="G359" s="2440"/>
      <c r="H359" s="2440"/>
      <c r="I359" s="2440"/>
      <c r="J359" s="2440"/>
      <c r="K359" s="2440"/>
      <c r="L359" s="2440"/>
      <c r="M359" s="2440"/>
      <c r="N359" s="2440"/>
      <c r="O359" s="2440"/>
      <c r="P359" s="2440"/>
      <c r="Q359" s="2440"/>
      <c r="R359" s="2440"/>
      <c r="S359" s="2440"/>
      <c r="T359" s="2440"/>
      <c r="U359" s="2440"/>
      <c r="V359" s="2440"/>
      <c r="W359" s="2440"/>
      <c r="X359" s="2440"/>
      <c r="Y359" s="2440"/>
      <c r="Z359" s="2440"/>
      <c r="AA359" s="2440"/>
      <c r="AB359" s="2440"/>
      <c r="AC359" s="2440"/>
      <c r="AD359" s="2440"/>
      <c r="AE359" s="2440"/>
      <c r="AF359" s="2440"/>
      <c r="AG359" s="2440"/>
      <c r="AH359" s="2440"/>
      <c r="AI359" s="2440"/>
      <c r="AJ359" s="2440"/>
      <c r="AK359" s="603"/>
      <c r="AL359" s="603"/>
      <c r="AM359" s="603"/>
      <c r="AN359" s="597"/>
      <c r="AO359" s="695" t="s">
        <v>119</v>
      </c>
      <c r="AP359" s="696">
        <f>IF(C397="Yes",7,0)</f>
        <v>0</v>
      </c>
      <c r="AS359" s="539" t="s">
        <v>1458</v>
      </c>
    </row>
    <row r="360" spans="1:46" s="550" customFormat="1" ht="12.75" customHeight="1">
      <c r="A360" s="603"/>
      <c r="B360" s="611"/>
      <c r="C360" s="2440"/>
      <c r="D360" s="2440"/>
      <c r="E360" s="2440"/>
      <c r="F360" s="2440"/>
      <c r="G360" s="2440"/>
      <c r="H360" s="2440"/>
      <c r="I360" s="2440"/>
      <c r="J360" s="2440"/>
      <c r="K360" s="2440"/>
      <c r="L360" s="2440"/>
      <c r="M360" s="2440"/>
      <c r="N360" s="2440"/>
      <c r="O360" s="2440"/>
      <c r="P360" s="2440"/>
      <c r="Q360" s="2440"/>
      <c r="R360" s="2440"/>
      <c r="S360" s="2440"/>
      <c r="T360" s="2440"/>
      <c r="U360" s="2440"/>
      <c r="V360" s="2440"/>
      <c r="W360" s="2440"/>
      <c r="X360" s="2440"/>
      <c r="Y360" s="2440"/>
      <c r="Z360" s="2440"/>
      <c r="AA360" s="2440"/>
      <c r="AB360" s="2440"/>
      <c r="AC360" s="2440"/>
      <c r="AD360" s="2440"/>
      <c r="AE360" s="2440"/>
      <c r="AF360" s="2440"/>
      <c r="AG360" s="2440"/>
      <c r="AH360" s="2440"/>
      <c r="AI360" s="2440"/>
      <c r="AJ360" s="2440"/>
      <c r="AK360" s="603"/>
      <c r="AL360" s="603"/>
      <c r="AM360" s="603"/>
      <c r="AN360" s="597"/>
      <c r="AO360" s="597"/>
      <c r="AP360" s="696">
        <f>IF(C399="Yes",5,0)</f>
        <v>5</v>
      </c>
      <c r="AS360" s="2406">
        <f>IF(AND(AQ366&gt;0,AQ375&gt;0),(AQ366+AQ375)/2,0)</f>
        <v>0</v>
      </c>
      <c r="AT360" s="2406"/>
    </row>
    <row r="361" spans="1:46" s="550" customFormat="1" ht="12.75" customHeight="1">
      <c r="A361" s="603"/>
      <c r="B361" s="611"/>
      <c r="C361" s="2440"/>
      <c r="D361" s="2440"/>
      <c r="E361" s="2440"/>
      <c r="F361" s="2440"/>
      <c r="G361" s="2440"/>
      <c r="H361" s="2440"/>
      <c r="I361" s="2440"/>
      <c r="J361" s="2440"/>
      <c r="K361" s="2440"/>
      <c r="L361" s="2440"/>
      <c r="M361" s="2440"/>
      <c r="N361" s="2440"/>
      <c r="O361" s="2440"/>
      <c r="P361" s="2440"/>
      <c r="Q361" s="2440"/>
      <c r="R361" s="2440"/>
      <c r="S361" s="2440"/>
      <c r="T361" s="2440"/>
      <c r="U361" s="2440"/>
      <c r="V361" s="2440"/>
      <c r="W361" s="2440"/>
      <c r="X361" s="2440"/>
      <c r="Y361" s="2440"/>
      <c r="Z361" s="2440"/>
      <c r="AA361" s="2440"/>
      <c r="AB361" s="2440"/>
      <c r="AC361" s="2440"/>
      <c r="AD361" s="2440"/>
      <c r="AE361" s="2440"/>
      <c r="AF361" s="2440"/>
      <c r="AG361" s="2440"/>
      <c r="AH361" s="2440"/>
      <c r="AI361" s="2440"/>
      <c r="AJ361" s="2440"/>
      <c r="AK361" s="603"/>
      <c r="AL361" s="603"/>
      <c r="AM361" s="603"/>
      <c r="AN361" s="597"/>
      <c r="AO361" s="695" t="s">
        <v>582</v>
      </c>
      <c r="AP361" s="696">
        <f>IF(C407="Yes",5,0)</f>
        <v>0</v>
      </c>
      <c r="AS361" s="539" t="s">
        <v>1880</v>
      </c>
    </row>
    <row r="362" spans="1:46" s="550" customFormat="1" ht="12.75" customHeight="1">
      <c r="A362" s="603"/>
      <c r="B362" s="611"/>
      <c r="C362" s="2534" t="s">
        <v>2234</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0</v>
      </c>
      <c r="AS362" s="2406">
        <f>IF(AQ366=0,AQ375,AQ366)</f>
        <v>10</v>
      </c>
      <c r="AT362" s="2406"/>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764</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585</v>
      </c>
      <c r="AP364" s="696">
        <f>IF(C421="Yes",5,0)</f>
        <v>5</v>
      </c>
    </row>
    <row r="365" spans="1:46" s="550" customFormat="1" ht="11.9"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4"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227</v>
      </c>
      <c r="AP366" s="700">
        <f>SUM(AP357:AP365)</f>
        <v>10</v>
      </c>
      <c r="AQ366" s="2443">
        <f>IF(AP366&gt;0,AP366,0)</f>
        <v>10</v>
      </c>
      <c r="AR366" s="2443"/>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40" t="s">
        <v>1459</v>
      </c>
      <c r="D369" s="2440"/>
      <c r="E369" s="2440"/>
      <c r="F369" s="2440"/>
      <c r="G369" s="2440"/>
      <c r="H369" s="2440"/>
      <c r="I369" s="2440"/>
      <c r="J369" s="2440"/>
      <c r="K369" s="2440"/>
      <c r="L369" s="2440"/>
      <c r="M369" s="2440"/>
      <c r="N369" s="2440"/>
      <c r="O369" s="2440"/>
      <c r="P369" s="2440"/>
      <c r="Q369" s="2440"/>
      <c r="R369" s="2440"/>
      <c r="S369" s="2440"/>
      <c r="T369" s="2440"/>
      <c r="U369" s="2440"/>
      <c r="V369" s="2440"/>
      <c r="W369" s="2440"/>
      <c r="X369" s="2440"/>
      <c r="Y369" s="2440"/>
      <c r="Z369" s="2440"/>
      <c r="AA369" s="2440"/>
      <c r="AB369" s="2440"/>
      <c r="AC369" s="2440"/>
      <c r="AD369" s="2440"/>
      <c r="AE369" s="2440"/>
      <c r="AF369" s="2440"/>
      <c r="AG369" s="2440"/>
      <c r="AH369" s="2440"/>
      <c r="AI369" s="2440"/>
      <c r="AJ369" s="2440"/>
      <c r="AK369" s="603"/>
      <c r="AL369" s="603"/>
      <c r="AM369" s="603"/>
      <c r="AN369" s="597"/>
      <c r="AO369" s="695" t="s">
        <v>457</v>
      </c>
      <c r="AP369" s="696">
        <f>IF(C442="Yes",5,0)</f>
        <v>0</v>
      </c>
    </row>
    <row r="370" spans="1:81" s="550" customFormat="1" ht="12.75" customHeight="1">
      <c r="A370" s="603"/>
      <c r="B370" s="611"/>
      <c r="C370" s="2440"/>
      <c r="D370" s="2440"/>
      <c r="E370" s="2440"/>
      <c r="F370" s="2440"/>
      <c r="G370" s="2440"/>
      <c r="H370" s="2440"/>
      <c r="I370" s="2440"/>
      <c r="J370" s="2440"/>
      <c r="K370" s="2440"/>
      <c r="L370" s="2440"/>
      <c r="M370" s="2440"/>
      <c r="N370" s="2440"/>
      <c r="O370" s="2440"/>
      <c r="P370" s="2440"/>
      <c r="Q370" s="2440"/>
      <c r="R370" s="2440"/>
      <c r="S370" s="2440"/>
      <c r="T370" s="2440"/>
      <c r="U370" s="2440"/>
      <c r="V370" s="2440"/>
      <c r="W370" s="2440"/>
      <c r="X370" s="2440"/>
      <c r="Y370" s="2440"/>
      <c r="Z370" s="2440"/>
      <c r="AA370" s="2440"/>
      <c r="AB370" s="2440"/>
      <c r="AC370" s="2440"/>
      <c r="AD370" s="2440"/>
      <c r="AE370" s="2440"/>
      <c r="AF370" s="2440"/>
      <c r="AG370" s="2440"/>
      <c r="AH370" s="2440"/>
      <c r="AI370" s="2440"/>
      <c r="AJ370" s="2440"/>
      <c r="AK370" s="603"/>
      <c r="AL370" s="603"/>
      <c r="AM370" s="603"/>
      <c r="AN370" s="597"/>
      <c r="AO370" s="695" t="s">
        <v>462</v>
      </c>
      <c r="AP370" s="696">
        <f>IF(C449="Yes",5,0)</f>
        <v>0</v>
      </c>
    </row>
    <row r="371" spans="1:81" s="550" customFormat="1" ht="68.150000000000006" customHeight="1">
      <c r="A371" s="603"/>
      <c r="B371" s="611"/>
      <c r="C371" s="2440"/>
      <c r="D371" s="2440"/>
      <c r="E371" s="2440"/>
      <c r="F371" s="2440"/>
      <c r="G371" s="2440"/>
      <c r="H371" s="2440"/>
      <c r="I371" s="2440"/>
      <c r="J371" s="2440"/>
      <c r="K371" s="2440"/>
      <c r="L371" s="2440"/>
      <c r="M371" s="2440"/>
      <c r="N371" s="2440"/>
      <c r="O371" s="2440"/>
      <c r="P371" s="2440"/>
      <c r="Q371" s="2440"/>
      <c r="R371" s="2440"/>
      <c r="S371" s="2440"/>
      <c r="T371" s="2440"/>
      <c r="U371" s="2440"/>
      <c r="V371" s="2440"/>
      <c r="W371" s="2440"/>
      <c r="X371" s="2440"/>
      <c r="Y371" s="2440"/>
      <c r="Z371" s="2440"/>
      <c r="AA371" s="2440"/>
      <c r="AB371" s="2440"/>
      <c r="AC371" s="2440"/>
      <c r="AD371" s="2440"/>
      <c r="AE371" s="2440"/>
      <c r="AF371" s="2440"/>
      <c r="AG371" s="2440"/>
      <c r="AH371" s="2440"/>
      <c r="AI371" s="2440"/>
      <c r="AJ371" s="2440"/>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41">
        <f>Application!DU802-U374</f>
        <v>158</v>
      </c>
      <c r="V373" s="2441"/>
      <c r="W373" s="244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42">
        <f>IF(Application!D211="SRO",Application!DU755,Application!AG756)</f>
        <v>0</v>
      </c>
      <c r="V374" s="2442"/>
      <c r="W374" s="244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3">
        <f>IF(AP375&gt;0,AP375,0)</f>
        <v>0</v>
      </c>
      <c r="AR375" s="2443"/>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34" t="s">
        <v>1461</v>
      </c>
      <c r="G377" s="2434"/>
      <c r="H377" s="2434"/>
      <c r="I377" s="2434"/>
      <c r="J377" s="2434"/>
      <c r="K377" s="2434"/>
      <c r="L377" s="2434"/>
      <c r="M377" s="2434"/>
      <c r="N377" s="2434"/>
      <c r="O377" s="2434"/>
      <c r="P377" s="2434"/>
      <c r="Q377" s="2434"/>
      <c r="R377" s="2434"/>
      <c r="S377" s="2434"/>
      <c r="T377" s="2434"/>
      <c r="U377" s="2434"/>
      <c r="V377" s="2434"/>
      <c r="W377" s="2434"/>
      <c r="X377" s="2434"/>
      <c r="Y377" s="2434"/>
      <c r="Z377" s="2434"/>
      <c r="AA377" s="2434"/>
      <c r="AB377" s="2434"/>
      <c r="AC377" s="2434"/>
      <c r="AD377" s="2434"/>
      <c r="AE377" s="2434"/>
      <c r="AF377" s="243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5"/>
      <c r="G378" s="2435"/>
      <c r="H378" s="2435"/>
      <c r="I378" s="2435"/>
      <c r="J378" s="2435"/>
      <c r="K378" s="2435"/>
      <c r="L378" s="2435"/>
      <c r="M378" s="2435"/>
      <c r="N378" s="2435"/>
      <c r="O378" s="2435"/>
      <c r="P378" s="2435"/>
      <c r="Q378" s="2435"/>
      <c r="R378" s="2435"/>
      <c r="S378" s="2435"/>
      <c r="T378" s="2435"/>
      <c r="U378" s="2435"/>
      <c r="V378" s="2435"/>
      <c r="W378" s="2435"/>
      <c r="X378" s="2435"/>
      <c r="Y378" s="2435"/>
      <c r="Z378" s="2435"/>
      <c r="AA378" s="2435"/>
      <c r="AB378" s="2435"/>
      <c r="AC378" s="2435"/>
      <c r="AD378" s="2435"/>
      <c r="AE378" s="2435"/>
      <c r="AF378" s="243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5"/>
      <c r="G379" s="2435"/>
      <c r="H379" s="2435"/>
      <c r="I379" s="2435"/>
      <c r="J379" s="2435"/>
      <c r="K379" s="2435"/>
      <c r="L379" s="2435"/>
      <c r="M379" s="2435"/>
      <c r="N379" s="2435"/>
      <c r="O379" s="2435"/>
      <c r="P379" s="2435"/>
      <c r="Q379" s="2435"/>
      <c r="R379" s="2435"/>
      <c r="S379" s="2435"/>
      <c r="T379" s="2435"/>
      <c r="U379" s="2435"/>
      <c r="V379" s="2435"/>
      <c r="W379" s="2435"/>
      <c r="X379" s="2435"/>
      <c r="Y379" s="2435"/>
      <c r="Z379" s="2435"/>
      <c r="AA379" s="2435"/>
      <c r="AB379" s="2435"/>
      <c r="AC379" s="2435"/>
      <c r="AD379" s="2435"/>
      <c r="AE379" s="2435"/>
      <c r="AF379" s="243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5"/>
      <c r="G380" s="2435"/>
      <c r="H380" s="2435"/>
      <c r="I380" s="2435"/>
      <c r="J380" s="2435"/>
      <c r="K380" s="2435"/>
      <c r="L380" s="2435"/>
      <c r="M380" s="2435"/>
      <c r="N380" s="2435"/>
      <c r="O380" s="2435"/>
      <c r="P380" s="2435"/>
      <c r="Q380" s="2435"/>
      <c r="R380" s="2435"/>
      <c r="S380" s="2435"/>
      <c r="T380" s="2435"/>
      <c r="U380" s="2435"/>
      <c r="V380" s="2435"/>
      <c r="W380" s="2435"/>
      <c r="X380" s="2435"/>
      <c r="Y380" s="2435"/>
      <c r="Z380" s="2435"/>
      <c r="AA380" s="2435"/>
      <c r="AB380" s="2435"/>
      <c r="AC380" s="2435"/>
      <c r="AD380" s="2435"/>
      <c r="AE380" s="2435"/>
      <c r="AF380" s="243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4" t="s">
        <v>592</v>
      </c>
      <c r="D381" s="2445"/>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6" t="s">
        <v>1463</v>
      </c>
      <c r="AG381" s="2446"/>
      <c r="AH381" s="2446"/>
      <c r="AI381" s="2446"/>
      <c r="AJ381" s="2446"/>
      <c r="AK381" s="2446"/>
      <c r="AL381" s="244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34" t="s">
        <v>1464</v>
      </c>
      <c r="G384" s="2434"/>
      <c r="H384" s="2434"/>
      <c r="I384" s="2434"/>
      <c r="J384" s="2434"/>
      <c r="K384" s="2434"/>
      <c r="L384" s="2434"/>
      <c r="M384" s="2434"/>
      <c r="N384" s="2434"/>
      <c r="O384" s="2434"/>
      <c r="P384" s="2434"/>
      <c r="Q384" s="2434"/>
      <c r="R384" s="2434"/>
      <c r="S384" s="2434"/>
      <c r="T384" s="2434"/>
      <c r="U384" s="2434"/>
      <c r="V384" s="2434"/>
      <c r="W384" s="2434"/>
      <c r="X384" s="2434"/>
      <c r="Y384" s="2434"/>
      <c r="Z384" s="2434"/>
      <c r="AA384" s="2434"/>
      <c r="AB384" s="2434"/>
      <c r="AC384" s="2434"/>
      <c r="AD384" s="2434"/>
      <c r="AE384" s="2434"/>
      <c r="AF384" s="243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5"/>
      <c r="G385" s="2435"/>
      <c r="H385" s="2435"/>
      <c r="I385" s="2435"/>
      <c r="J385" s="2435"/>
      <c r="K385" s="2435"/>
      <c r="L385" s="2435"/>
      <c r="M385" s="2435"/>
      <c r="N385" s="2435"/>
      <c r="O385" s="2435"/>
      <c r="P385" s="2435"/>
      <c r="Q385" s="2435"/>
      <c r="R385" s="2435"/>
      <c r="S385" s="2435"/>
      <c r="T385" s="2435"/>
      <c r="U385" s="2435"/>
      <c r="V385" s="2435"/>
      <c r="W385" s="2435"/>
      <c r="X385" s="2435"/>
      <c r="Y385" s="2435"/>
      <c r="Z385" s="2435"/>
      <c r="AA385" s="2435"/>
      <c r="AB385" s="2435"/>
      <c r="AC385" s="2435"/>
      <c r="AD385" s="2435"/>
      <c r="AE385" s="2435"/>
      <c r="AF385" s="243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5"/>
      <c r="G386" s="2435"/>
      <c r="H386" s="2435"/>
      <c r="I386" s="2435"/>
      <c r="J386" s="2435"/>
      <c r="K386" s="2435"/>
      <c r="L386" s="2435"/>
      <c r="M386" s="2435"/>
      <c r="N386" s="2435"/>
      <c r="O386" s="2435"/>
      <c r="P386" s="2435"/>
      <c r="Q386" s="2435"/>
      <c r="R386" s="2435"/>
      <c r="S386" s="2435"/>
      <c r="T386" s="2435"/>
      <c r="U386" s="2435"/>
      <c r="V386" s="2435"/>
      <c r="W386" s="2435"/>
      <c r="X386" s="2435"/>
      <c r="Y386" s="2435"/>
      <c r="Z386" s="2435"/>
      <c r="AA386" s="2435"/>
      <c r="AB386" s="2435"/>
      <c r="AC386" s="2435"/>
      <c r="AD386" s="2435"/>
      <c r="AE386" s="2435"/>
      <c r="AF386" s="243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5"/>
      <c r="G387" s="2435"/>
      <c r="H387" s="2435"/>
      <c r="I387" s="2435"/>
      <c r="J387" s="2435"/>
      <c r="K387" s="2435"/>
      <c r="L387" s="2435"/>
      <c r="M387" s="2435"/>
      <c r="N387" s="2435"/>
      <c r="O387" s="2435"/>
      <c r="P387" s="2435"/>
      <c r="Q387" s="2435"/>
      <c r="R387" s="2435"/>
      <c r="S387" s="2435"/>
      <c r="T387" s="2435"/>
      <c r="U387" s="2435"/>
      <c r="V387" s="2435"/>
      <c r="W387" s="2435"/>
      <c r="X387" s="2435"/>
      <c r="Y387" s="2435"/>
      <c r="Z387" s="2435"/>
      <c r="AA387" s="2435"/>
      <c r="AB387" s="2435"/>
      <c r="AC387" s="2435"/>
      <c r="AD387" s="2435"/>
      <c r="AE387" s="2435"/>
      <c r="AF387" s="243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5"/>
      <c r="G388" s="2435"/>
      <c r="H388" s="2435"/>
      <c r="I388" s="2435"/>
      <c r="J388" s="2435"/>
      <c r="K388" s="2435"/>
      <c r="L388" s="2435"/>
      <c r="M388" s="2435"/>
      <c r="N388" s="2435"/>
      <c r="O388" s="2435"/>
      <c r="P388" s="2435"/>
      <c r="Q388" s="2435"/>
      <c r="R388" s="2435"/>
      <c r="S388" s="2435"/>
      <c r="T388" s="2435"/>
      <c r="U388" s="2435"/>
      <c r="V388" s="2435"/>
      <c r="W388" s="2435"/>
      <c r="X388" s="2435"/>
      <c r="Y388" s="2435"/>
      <c r="Z388" s="2435"/>
      <c r="AA388" s="2435"/>
      <c r="AB388" s="2435"/>
      <c r="AC388" s="2435"/>
      <c r="AD388" s="2435"/>
      <c r="AE388" s="2435"/>
      <c r="AF388" s="2435"/>
      <c r="AL388" s="732"/>
      <c r="AN388" s="597"/>
      <c r="BS388" s="30"/>
      <c r="BT388" s="30"/>
      <c r="BU388" s="14"/>
      <c r="BV388" s="14"/>
      <c r="BW388" s="14"/>
      <c r="BX388" s="14"/>
      <c r="BY388" s="14"/>
      <c r="BZ388" s="14"/>
      <c r="CA388" s="14"/>
      <c r="CB388" s="14"/>
      <c r="CC388" s="14"/>
    </row>
    <row r="389" spans="1:81" s="550" customFormat="1" ht="12.75" customHeight="1">
      <c r="A389" s="536"/>
      <c r="B389" s="14"/>
      <c r="C389" s="2444" t="s">
        <v>592</v>
      </c>
      <c r="D389" s="2445"/>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6" t="s">
        <v>1463</v>
      </c>
      <c r="AG389" s="2446"/>
      <c r="AH389" s="2446"/>
      <c r="AI389" s="2446"/>
      <c r="AJ389" s="2446"/>
      <c r="AK389" s="2446"/>
      <c r="AL389" s="244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34" t="s">
        <v>1466</v>
      </c>
      <c r="G392" s="2434"/>
      <c r="H392" s="2434"/>
      <c r="I392" s="2434"/>
      <c r="J392" s="2434"/>
      <c r="K392" s="2434"/>
      <c r="L392" s="2434"/>
      <c r="M392" s="2434"/>
      <c r="N392" s="2434"/>
      <c r="O392" s="2434"/>
      <c r="P392" s="2434"/>
      <c r="Q392" s="2434"/>
      <c r="R392" s="2434"/>
      <c r="S392" s="2434"/>
      <c r="T392" s="2434"/>
      <c r="U392" s="2434"/>
      <c r="V392" s="2434"/>
      <c r="W392" s="2434"/>
      <c r="X392" s="2434"/>
      <c r="Y392" s="2434"/>
      <c r="Z392" s="2434"/>
      <c r="AA392" s="2434"/>
      <c r="AB392" s="2434"/>
      <c r="AC392" s="2434"/>
      <c r="AD392" s="2434"/>
      <c r="AE392" s="2434"/>
      <c r="AF392" s="243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5"/>
      <c r="G393" s="2435"/>
      <c r="H393" s="2435"/>
      <c r="I393" s="2435"/>
      <c r="J393" s="2435"/>
      <c r="K393" s="2435"/>
      <c r="L393" s="2435"/>
      <c r="M393" s="2435"/>
      <c r="N393" s="2435"/>
      <c r="O393" s="2435"/>
      <c r="P393" s="2435"/>
      <c r="Q393" s="2435"/>
      <c r="R393" s="2435"/>
      <c r="S393" s="2435"/>
      <c r="T393" s="2435"/>
      <c r="U393" s="2435"/>
      <c r="V393" s="2435"/>
      <c r="W393" s="2435"/>
      <c r="X393" s="2435"/>
      <c r="Y393" s="2435"/>
      <c r="Z393" s="2435"/>
      <c r="AA393" s="2435"/>
      <c r="AB393" s="2435"/>
      <c r="AC393" s="2435"/>
      <c r="AD393" s="2435"/>
      <c r="AE393" s="2435"/>
      <c r="AF393" s="243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5"/>
      <c r="G394" s="2435"/>
      <c r="H394" s="2435"/>
      <c r="I394" s="2435"/>
      <c r="J394" s="2435"/>
      <c r="K394" s="2435"/>
      <c r="L394" s="2435"/>
      <c r="M394" s="2435"/>
      <c r="N394" s="2435"/>
      <c r="O394" s="2435"/>
      <c r="P394" s="2435"/>
      <c r="Q394" s="2435"/>
      <c r="R394" s="2435"/>
      <c r="S394" s="2435"/>
      <c r="T394" s="2435"/>
      <c r="U394" s="2435"/>
      <c r="V394" s="2435"/>
      <c r="W394" s="2435"/>
      <c r="X394" s="2435"/>
      <c r="Y394" s="2435"/>
      <c r="Z394" s="2435"/>
      <c r="AA394" s="2435"/>
      <c r="AB394" s="2435"/>
      <c r="AC394" s="2435"/>
      <c r="AD394" s="2435"/>
      <c r="AE394" s="2435"/>
      <c r="AF394" s="243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5"/>
      <c r="G395" s="2435"/>
      <c r="H395" s="2435"/>
      <c r="I395" s="2435"/>
      <c r="J395" s="2435"/>
      <c r="K395" s="2435"/>
      <c r="L395" s="2435"/>
      <c r="M395" s="2435"/>
      <c r="N395" s="2435"/>
      <c r="O395" s="2435"/>
      <c r="P395" s="2435"/>
      <c r="Q395" s="2435"/>
      <c r="R395" s="2435"/>
      <c r="S395" s="2435"/>
      <c r="T395" s="2435"/>
      <c r="U395" s="2435"/>
      <c r="V395" s="2435"/>
      <c r="W395" s="2435"/>
      <c r="X395" s="2435"/>
      <c r="Y395" s="2435"/>
      <c r="Z395" s="2435"/>
      <c r="AA395" s="2435"/>
      <c r="AB395" s="2435"/>
      <c r="AC395" s="2435"/>
      <c r="AD395" s="2435"/>
      <c r="AE395" s="2435"/>
      <c r="AF395" s="243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5"/>
      <c r="G396" s="2435"/>
      <c r="H396" s="2435"/>
      <c r="I396" s="2435"/>
      <c r="J396" s="2435"/>
      <c r="K396" s="2435"/>
      <c r="L396" s="2435"/>
      <c r="M396" s="2435"/>
      <c r="N396" s="2435"/>
      <c r="O396" s="2435"/>
      <c r="P396" s="2435"/>
      <c r="Q396" s="2435"/>
      <c r="R396" s="2435"/>
      <c r="S396" s="2435"/>
      <c r="T396" s="2435"/>
      <c r="U396" s="2435"/>
      <c r="V396" s="2435"/>
      <c r="W396" s="2435"/>
      <c r="X396" s="2435"/>
      <c r="Y396" s="2435"/>
      <c r="Z396" s="2435"/>
      <c r="AA396" s="2435"/>
      <c r="AB396" s="2435"/>
      <c r="AC396" s="2435"/>
      <c r="AD396" s="2435"/>
      <c r="AE396" s="2435"/>
      <c r="AF396" s="243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4" t="s">
        <v>592</v>
      </c>
      <c r="D397" s="2445"/>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6" t="s">
        <v>1468</v>
      </c>
      <c r="AG397" s="2446"/>
      <c r="AH397" s="2446"/>
      <c r="AI397" s="2446"/>
      <c r="AJ397" s="2446"/>
      <c r="AK397" s="2446"/>
      <c r="AL397" s="244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4" t="s">
        <v>546</v>
      </c>
      <c r="D399" s="2445"/>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6" t="s">
        <v>1463</v>
      </c>
      <c r="AG399" s="2446"/>
      <c r="AH399" s="2446"/>
      <c r="AI399" s="2446"/>
      <c r="AJ399" s="2446"/>
      <c r="AK399" s="2446"/>
      <c r="AL399" s="244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34" t="s">
        <v>1472</v>
      </c>
      <c r="G403" s="2434"/>
      <c r="H403" s="2434"/>
      <c r="I403" s="2434"/>
      <c r="J403" s="2434"/>
      <c r="K403" s="2434"/>
      <c r="L403" s="2434"/>
      <c r="M403" s="2434"/>
      <c r="N403" s="2434"/>
      <c r="O403" s="2434"/>
      <c r="P403" s="2434"/>
      <c r="Q403" s="2434"/>
      <c r="R403" s="2434"/>
      <c r="S403" s="2434"/>
      <c r="T403" s="2434"/>
      <c r="U403" s="2434"/>
      <c r="V403" s="2434"/>
      <c r="W403" s="2434"/>
      <c r="X403" s="2434"/>
      <c r="Y403" s="2434"/>
      <c r="Z403" s="2434"/>
      <c r="AA403" s="2434"/>
      <c r="AB403" s="2434"/>
      <c r="AC403" s="2434"/>
      <c r="AD403" s="2434"/>
      <c r="AE403" s="2434"/>
      <c r="AF403" s="243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5"/>
      <c r="G404" s="2435"/>
      <c r="H404" s="2435"/>
      <c r="I404" s="2435"/>
      <c r="J404" s="2435"/>
      <c r="K404" s="2435"/>
      <c r="L404" s="2435"/>
      <c r="M404" s="2435"/>
      <c r="N404" s="2435"/>
      <c r="O404" s="2435"/>
      <c r="P404" s="2435"/>
      <c r="Q404" s="2435"/>
      <c r="R404" s="2435"/>
      <c r="S404" s="2435"/>
      <c r="T404" s="2435"/>
      <c r="U404" s="2435"/>
      <c r="V404" s="2435"/>
      <c r="W404" s="2435"/>
      <c r="X404" s="2435"/>
      <c r="Y404" s="2435"/>
      <c r="Z404" s="2435"/>
      <c r="AA404" s="2435"/>
      <c r="AB404" s="2435"/>
      <c r="AC404" s="2435"/>
      <c r="AD404" s="2435"/>
      <c r="AE404" s="2435"/>
      <c r="AF404" s="243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5"/>
      <c r="G405" s="2435"/>
      <c r="H405" s="2435"/>
      <c r="I405" s="2435"/>
      <c r="J405" s="2435"/>
      <c r="K405" s="2435"/>
      <c r="L405" s="2435"/>
      <c r="M405" s="2435"/>
      <c r="N405" s="2435"/>
      <c r="O405" s="2435"/>
      <c r="P405" s="2435"/>
      <c r="Q405" s="2435"/>
      <c r="R405" s="2435"/>
      <c r="S405" s="2435"/>
      <c r="T405" s="2435"/>
      <c r="U405" s="2435"/>
      <c r="V405" s="2435"/>
      <c r="W405" s="2435"/>
      <c r="X405" s="2435"/>
      <c r="Y405" s="2435"/>
      <c r="Z405" s="2435"/>
      <c r="AA405" s="2435"/>
      <c r="AB405" s="2435"/>
      <c r="AC405" s="2435"/>
      <c r="AD405" s="2435"/>
      <c r="AE405" s="2435"/>
      <c r="AF405" s="243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5"/>
      <c r="G406" s="2435"/>
      <c r="H406" s="2435"/>
      <c r="I406" s="2435"/>
      <c r="J406" s="2435"/>
      <c r="K406" s="2435"/>
      <c r="L406" s="2435"/>
      <c r="M406" s="2435"/>
      <c r="N406" s="2435"/>
      <c r="O406" s="2435"/>
      <c r="P406" s="2435"/>
      <c r="Q406" s="2435"/>
      <c r="R406" s="2435"/>
      <c r="S406" s="2435"/>
      <c r="T406" s="2435"/>
      <c r="U406" s="2435"/>
      <c r="V406" s="2435"/>
      <c r="W406" s="2435"/>
      <c r="X406" s="2435"/>
      <c r="Y406" s="2435"/>
      <c r="Z406" s="2435"/>
      <c r="AA406" s="2435"/>
      <c r="AB406" s="2435"/>
      <c r="AC406" s="2435"/>
      <c r="AD406" s="2435"/>
      <c r="AE406" s="2435"/>
      <c r="AF406" s="243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4" t="s">
        <v>592</v>
      </c>
      <c r="D407" s="2445"/>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6" t="s">
        <v>1463</v>
      </c>
      <c r="AG407" s="2446"/>
      <c r="AH407" s="2446"/>
      <c r="AI407" s="2446"/>
      <c r="AJ407" s="2446"/>
      <c r="AK407" s="2446"/>
      <c r="AL407" s="244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4" t="s">
        <v>592</v>
      </c>
      <c r="D409" s="2445"/>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6" t="s">
        <v>1475</v>
      </c>
      <c r="AG409" s="2446"/>
      <c r="AH409" s="2446"/>
      <c r="AI409" s="2446"/>
      <c r="AJ409" s="2446"/>
      <c r="AK409" s="2446"/>
      <c r="AL409" s="244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4" t="s">
        <v>592</v>
      </c>
      <c r="D412" s="2445"/>
      <c r="E412" s="715" t="s">
        <v>1476</v>
      </c>
      <c r="F412" s="2434" t="s">
        <v>1477</v>
      </c>
      <c r="G412" s="2434"/>
      <c r="H412" s="2434"/>
      <c r="I412" s="2434"/>
      <c r="J412" s="2434"/>
      <c r="K412" s="2434"/>
      <c r="L412" s="2434"/>
      <c r="M412" s="2434"/>
      <c r="N412" s="2434"/>
      <c r="O412" s="2434"/>
      <c r="P412" s="2434"/>
      <c r="Q412" s="2434"/>
      <c r="R412" s="2434"/>
      <c r="S412" s="2434"/>
      <c r="T412" s="2434"/>
      <c r="U412" s="2434"/>
      <c r="V412" s="2434"/>
      <c r="W412" s="2434"/>
      <c r="X412" s="2434"/>
      <c r="Y412" s="2434"/>
      <c r="Z412" s="2434"/>
      <c r="AA412" s="2434"/>
      <c r="AB412" s="2434"/>
      <c r="AC412" s="2434"/>
      <c r="AD412" s="2434"/>
      <c r="AE412" s="243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5"/>
      <c r="G413" s="2435"/>
      <c r="H413" s="2435"/>
      <c r="I413" s="2435"/>
      <c r="J413" s="2435"/>
      <c r="K413" s="2435"/>
      <c r="L413" s="2435"/>
      <c r="M413" s="2435"/>
      <c r="N413" s="2435"/>
      <c r="O413" s="2435"/>
      <c r="P413" s="2435"/>
      <c r="Q413" s="2435"/>
      <c r="R413" s="2435"/>
      <c r="S413" s="2435"/>
      <c r="T413" s="2435"/>
      <c r="U413" s="2435"/>
      <c r="V413" s="2435"/>
      <c r="W413" s="2435"/>
      <c r="X413" s="2435"/>
      <c r="Y413" s="2435"/>
      <c r="Z413" s="2435"/>
      <c r="AA413" s="2435"/>
      <c r="AB413" s="2435"/>
      <c r="AC413" s="2435"/>
      <c r="AD413" s="2435"/>
      <c r="AE413" s="2435"/>
      <c r="AF413" s="2524" t="s">
        <v>1463</v>
      </c>
      <c r="AG413" s="2524"/>
      <c r="AH413" s="2524"/>
      <c r="AI413" s="2524"/>
      <c r="AJ413" s="2524"/>
      <c r="AK413" s="2524"/>
      <c r="AL413" s="2533"/>
      <c r="AM413" s="570"/>
      <c r="AN413" s="597"/>
      <c r="BS413" s="570"/>
      <c r="BT413" s="570"/>
      <c r="BY413" s="570"/>
      <c r="BZ413" s="570"/>
      <c r="CA413" s="570"/>
      <c r="CB413" s="570"/>
      <c r="CC413" s="570"/>
    </row>
    <row r="414" spans="1:81" s="550" customFormat="1" ht="12.75" customHeight="1">
      <c r="A414" s="536"/>
      <c r="B414" s="14"/>
      <c r="C414" s="731"/>
      <c r="D414" s="14"/>
      <c r="E414" s="691"/>
      <c r="F414" s="2435"/>
      <c r="G414" s="2435"/>
      <c r="H414" s="2435"/>
      <c r="I414" s="2435"/>
      <c r="J414" s="2435"/>
      <c r="K414" s="2435"/>
      <c r="L414" s="2435"/>
      <c r="M414" s="2435"/>
      <c r="N414" s="2435"/>
      <c r="O414" s="2435"/>
      <c r="P414" s="2435"/>
      <c r="Q414" s="2435"/>
      <c r="R414" s="2435"/>
      <c r="S414" s="2435"/>
      <c r="T414" s="2435"/>
      <c r="U414" s="2435"/>
      <c r="V414" s="2435"/>
      <c r="W414" s="2435"/>
      <c r="X414" s="2435"/>
      <c r="Y414" s="2435"/>
      <c r="Z414" s="2435"/>
      <c r="AA414" s="2435"/>
      <c r="AB414" s="2435"/>
      <c r="AC414" s="2435"/>
      <c r="AD414" s="2435"/>
      <c r="AE414" s="243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6"/>
      <c r="G415" s="2436"/>
      <c r="H415" s="2436"/>
      <c r="I415" s="2436"/>
      <c r="J415" s="2436"/>
      <c r="K415" s="2436"/>
      <c r="L415" s="2436"/>
      <c r="M415" s="2436"/>
      <c r="N415" s="2436"/>
      <c r="O415" s="2436"/>
      <c r="P415" s="2436"/>
      <c r="Q415" s="2436"/>
      <c r="R415" s="2436"/>
      <c r="S415" s="2436"/>
      <c r="T415" s="2436"/>
      <c r="U415" s="2436"/>
      <c r="V415" s="2436"/>
      <c r="W415" s="2436"/>
      <c r="X415" s="2436"/>
      <c r="Y415" s="2436"/>
      <c r="Z415" s="2436"/>
      <c r="AA415" s="2436"/>
      <c r="AB415" s="2436"/>
      <c r="AC415" s="2436"/>
      <c r="AD415" s="2436"/>
      <c r="AE415" s="2436"/>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34" t="s">
        <v>1479</v>
      </c>
      <c r="G417" s="2434"/>
      <c r="H417" s="2434"/>
      <c r="I417" s="2434"/>
      <c r="J417" s="2434"/>
      <c r="K417" s="2434"/>
      <c r="L417" s="2434"/>
      <c r="M417" s="2434"/>
      <c r="N417" s="2434"/>
      <c r="O417" s="2434"/>
      <c r="P417" s="2434"/>
      <c r="Q417" s="2434"/>
      <c r="R417" s="2434"/>
      <c r="S417" s="2434"/>
      <c r="T417" s="2434"/>
      <c r="U417" s="2434"/>
      <c r="V417" s="2434"/>
      <c r="W417" s="2434"/>
      <c r="X417" s="2434"/>
      <c r="Y417" s="2434"/>
      <c r="Z417" s="2434"/>
      <c r="AA417" s="2434"/>
      <c r="AB417" s="2434"/>
      <c r="AC417" s="2434"/>
      <c r="AD417" s="2434"/>
      <c r="AE417" s="2434"/>
      <c r="AF417" s="747"/>
      <c r="AG417" s="747"/>
      <c r="AH417" s="747"/>
      <c r="AI417" s="747"/>
      <c r="AJ417" s="747"/>
      <c r="AK417" s="747"/>
      <c r="AL417" s="748"/>
      <c r="AM417" s="570"/>
    </row>
    <row r="418" spans="1:55" ht="13">
      <c r="A418" s="536"/>
      <c r="C418" s="731"/>
      <c r="E418" s="691"/>
      <c r="F418" s="2435"/>
      <c r="G418" s="2435"/>
      <c r="H418" s="2435"/>
      <c r="I418" s="2435"/>
      <c r="J418" s="2435"/>
      <c r="K418" s="2435"/>
      <c r="L418" s="2435"/>
      <c r="M418" s="2435"/>
      <c r="N418" s="2435"/>
      <c r="O418" s="2435"/>
      <c r="P418" s="2435"/>
      <c r="Q418" s="2435"/>
      <c r="R418" s="2435"/>
      <c r="S418" s="2435"/>
      <c r="T418" s="2435"/>
      <c r="U418" s="2435"/>
      <c r="V418" s="2435"/>
      <c r="W418" s="2435"/>
      <c r="X418" s="2435"/>
      <c r="Y418" s="2435"/>
      <c r="Z418" s="2435"/>
      <c r="AA418" s="2435"/>
      <c r="AB418" s="2435"/>
      <c r="AC418" s="2435"/>
      <c r="AD418" s="2435"/>
      <c r="AE418" s="2435"/>
      <c r="AF418" s="539"/>
      <c r="AG418" s="536"/>
      <c r="AH418" s="550"/>
      <c r="AI418" s="550"/>
      <c r="AJ418" s="550"/>
      <c r="AK418" s="550"/>
      <c r="AL418" s="732"/>
      <c r="AM418" s="570"/>
    </row>
    <row r="419" spans="1:55" s="550" customFormat="1" ht="12.75" customHeight="1">
      <c r="A419" s="536"/>
      <c r="B419" s="14"/>
      <c r="C419" s="731"/>
      <c r="D419" s="14"/>
      <c r="E419" s="691"/>
      <c r="F419" s="2435"/>
      <c r="G419" s="2435"/>
      <c r="H419" s="2435"/>
      <c r="I419" s="2435"/>
      <c r="J419" s="2435"/>
      <c r="K419" s="2435"/>
      <c r="L419" s="2435"/>
      <c r="M419" s="2435"/>
      <c r="N419" s="2435"/>
      <c r="O419" s="2435"/>
      <c r="P419" s="2435"/>
      <c r="Q419" s="2435"/>
      <c r="R419" s="2435"/>
      <c r="S419" s="2435"/>
      <c r="T419" s="2435"/>
      <c r="U419" s="2435"/>
      <c r="V419" s="2435"/>
      <c r="W419" s="2435"/>
      <c r="X419" s="2435"/>
      <c r="Y419" s="2435"/>
      <c r="Z419" s="2435"/>
      <c r="AA419" s="2435"/>
      <c r="AB419" s="2435"/>
      <c r="AC419" s="2435"/>
      <c r="AD419" s="2435"/>
      <c r="AE419" s="2435"/>
      <c r="AL419" s="732"/>
      <c r="AM419" s="570"/>
      <c r="AN419" s="597"/>
    </row>
    <row r="420" spans="1:55" s="550" customFormat="1" ht="12.75" customHeight="1">
      <c r="A420" s="536"/>
      <c r="B420" s="14"/>
      <c r="C420" s="739"/>
      <c r="F420" s="2435"/>
      <c r="G420" s="2435"/>
      <c r="H420" s="2435"/>
      <c r="I420" s="2435"/>
      <c r="J420" s="2435"/>
      <c r="K420" s="2435"/>
      <c r="L420" s="2435"/>
      <c r="M420" s="2435"/>
      <c r="N420" s="2435"/>
      <c r="O420" s="2435"/>
      <c r="P420" s="2435"/>
      <c r="Q420" s="2435"/>
      <c r="R420" s="2435"/>
      <c r="S420" s="2435"/>
      <c r="T420" s="2435"/>
      <c r="U420" s="2435"/>
      <c r="V420" s="2435"/>
      <c r="W420" s="2435"/>
      <c r="X420" s="2435"/>
      <c r="Y420" s="2435"/>
      <c r="Z420" s="2435"/>
      <c r="AA420" s="2435"/>
      <c r="AB420" s="2435"/>
      <c r="AC420" s="2435"/>
      <c r="AD420" s="2435"/>
      <c r="AE420" s="2435"/>
      <c r="AL420" s="732"/>
      <c r="AM420" s="570"/>
      <c r="AN420" s="597"/>
    </row>
    <row r="421" spans="1:55" s="550" customFormat="1" ht="12.75" customHeight="1">
      <c r="A421" s="536"/>
      <c r="B421" s="14"/>
      <c r="C421" s="2444" t="s">
        <v>546</v>
      </c>
      <c r="D421" s="2445"/>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4" t="s">
        <v>1463</v>
      </c>
      <c r="AG421" s="2524"/>
      <c r="AH421" s="2524"/>
      <c r="AI421" s="2524"/>
      <c r="AJ421" s="2524"/>
      <c r="AK421" s="2524"/>
      <c r="AL421" s="2533"/>
      <c r="AM421" s="570"/>
      <c r="AN421" s="597"/>
    </row>
    <row r="422" spans="1:55" s="550" customFormat="1" ht="12.75" customHeight="1">
      <c r="A422" s="536"/>
      <c r="B422" s="14"/>
      <c r="C422" s="739"/>
      <c r="AL422" s="732"/>
      <c r="AM422" s="570"/>
      <c r="AN422" s="597"/>
    </row>
    <row r="423" spans="1:55" s="550" customFormat="1" ht="12.75" customHeight="1">
      <c r="A423" s="536"/>
      <c r="B423" s="14"/>
      <c r="C423" s="2444" t="s">
        <v>592</v>
      </c>
      <c r="D423" s="2445"/>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4" t="s">
        <v>1475</v>
      </c>
      <c r="AG423" s="2524"/>
      <c r="AH423" s="2524"/>
      <c r="AI423" s="2524"/>
      <c r="AJ423" s="2524"/>
      <c r="AK423" s="2524"/>
      <c r="AL423" s="253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34" t="s">
        <v>1483</v>
      </c>
      <c r="G427" s="2434"/>
      <c r="H427" s="2434"/>
      <c r="I427" s="2434"/>
      <c r="J427" s="2434"/>
      <c r="K427" s="2434"/>
      <c r="L427" s="2434"/>
      <c r="M427" s="2434"/>
      <c r="N427" s="2434"/>
      <c r="O427" s="2434"/>
      <c r="P427" s="2434"/>
      <c r="Q427" s="2434"/>
      <c r="R427" s="2434"/>
      <c r="S427" s="2434"/>
      <c r="T427" s="2434"/>
      <c r="U427" s="2434"/>
      <c r="V427" s="2434"/>
      <c r="W427" s="2434"/>
      <c r="X427" s="2434"/>
      <c r="Y427" s="2434"/>
      <c r="Z427" s="2434"/>
      <c r="AA427" s="2434"/>
      <c r="AB427" s="2434"/>
      <c r="AC427" s="2434"/>
      <c r="AD427" s="2434"/>
      <c r="AE427" s="2434"/>
      <c r="AF427" s="714"/>
      <c r="AG427" s="714"/>
      <c r="AH427" s="714"/>
      <c r="AI427" s="714"/>
      <c r="AJ427" s="714"/>
      <c r="AK427" s="714"/>
      <c r="AL427" s="745"/>
      <c r="AM427" s="570"/>
      <c r="AN427" s="597"/>
    </row>
    <row r="428" spans="1:55" s="550" customFormat="1" ht="12.75" customHeight="1">
      <c r="A428" s="536"/>
      <c r="B428" s="14"/>
      <c r="C428" s="731"/>
      <c r="D428" s="14"/>
      <c r="E428" s="691"/>
      <c r="F428" s="2435"/>
      <c r="G428" s="2435"/>
      <c r="H428" s="2435"/>
      <c r="I428" s="2435"/>
      <c r="J428" s="2435"/>
      <c r="K428" s="2435"/>
      <c r="L428" s="2435"/>
      <c r="M428" s="2435"/>
      <c r="N428" s="2435"/>
      <c r="O428" s="2435"/>
      <c r="P428" s="2435"/>
      <c r="Q428" s="2435"/>
      <c r="R428" s="2435"/>
      <c r="S428" s="2435"/>
      <c r="T428" s="2435"/>
      <c r="U428" s="2435"/>
      <c r="V428" s="2435"/>
      <c r="W428" s="2435"/>
      <c r="X428" s="2435"/>
      <c r="Y428" s="2435"/>
      <c r="Z428" s="2435"/>
      <c r="AA428" s="2435"/>
      <c r="AB428" s="2435"/>
      <c r="AC428" s="2435"/>
      <c r="AD428" s="2435"/>
      <c r="AE428" s="2435"/>
      <c r="AF428" s="539"/>
      <c r="AG428" s="536"/>
      <c r="AL428" s="732"/>
      <c r="AM428" s="570"/>
      <c r="AN428" s="597"/>
    </row>
    <row r="429" spans="1:55" s="550" customFormat="1" ht="12.4" customHeight="1">
      <c r="A429" s="536"/>
      <c r="B429" s="14"/>
      <c r="C429" s="731"/>
      <c r="D429" s="14"/>
      <c r="E429" s="691"/>
      <c r="F429" s="2435"/>
      <c r="G429" s="2435"/>
      <c r="H429" s="2435"/>
      <c r="I429" s="2435"/>
      <c r="J429" s="2435"/>
      <c r="K429" s="2435"/>
      <c r="L429" s="2435"/>
      <c r="M429" s="2435"/>
      <c r="N429" s="2435"/>
      <c r="O429" s="2435"/>
      <c r="P429" s="2435"/>
      <c r="Q429" s="2435"/>
      <c r="R429" s="2435"/>
      <c r="S429" s="2435"/>
      <c r="T429" s="2435"/>
      <c r="U429" s="2435"/>
      <c r="V429" s="2435"/>
      <c r="W429" s="2435"/>
      <c r="X429" s="2435"/>
      <c r="Y429" s="2435"/>
      <c r="Z429" s="2435"/>
      <c r="AA429" s="2435"/>
      <c r="AB429" s="2435"/>
      <c r="AC429" s="2435"/>
      <c r="AD429" s="2435"/>
      <c r="AE429" s="2435"/>
      <c r="AL429" s="732"/>
      <c r="AM429" s="570"/>
      <c r="AN429" s="597"/>
    </row>
    <row r="430" spans="1:55" s="550" customFormat="1" ht="12.75" customHeight="1">
      <c r="A430" s="536"/>
      <c r="B430" s="14"/>
      <c r="C430" s="2444" t="s">
        <v>592</v>
      </c>
      <c r="D430" s="2445"/>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4" t="s">
        <v>1463</v>
      </c>
      <c r="AG430" s="2524"/>
      <c r="AH430" s="2524"/>
      <c r="AI430" s="2524"/>
      <c r="AJ430" s="2524"/>
      <c r="AK430" s="2524"/>
      <c r="AL430" s="253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34" t="s">
        <v>1486</v>
      </c>
      <c r="G433" s="2434"/>
      <c r="H433" s="2434"/>
      <c r="I433" s="2434"/>
      <c r="J433" s="2434"/>
      <c r="K433" s="2434"/>
      <c r="L433" s="2434"/>
      <c r="M433" s="2434"/>
      <c r="N433" s="2434"/>
      <c r="O433" s="2434"/>
      <c r="P433" s="2434"/>
      <c r="Q433" s="2434"/>
      <c r="R433" s="2434"/>
      <c r="S433" s="2434"/>
      <c r="T433" s="2434"/>
      <c r="U433" s="2434"/>
      <c r="V433" s="2434"/>
      <c r="W433" s="2434"/>
      <c r="X433" s="2434"/>
      <c r="Y433" s="2434"/>
      <c r="Z433" s="2434"/>
      <c r="AA433" s="2434"/>
      <c r="AB433" s="2434"/>
      <c r="AC433" s="2434"/>
      <c r="AD433" s="2434"/>
      <c r="AE433" s="2434"/>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5"/>
      <c r="G434" s="2435"/>
      <c r="H434" s="2435"/>
      <c r="I434" s="2435"/>
      <c r="J434" s="2435"/>
      <c r="K434" s="2435"/>
      <c r="L434" s="2435"/>
      <c r="M434" s="2435"/>
      <c r="N434" s="2435"/>
      <c r="O434" s="2435"/>
      <c r="P434" s="2435"/>
      <c r="Q434" s="2435"/>
      <c r="R434" s="2435"/>
      <c r="S434" s="2435"/>
      <c r="T434" s="2435"/>
      <c r="U434" s="2435"/>
      <c r="V434" s="2435"/>
      <c r="W434" s="2435"/>
      <c r="X434" s="2435"/>
      <c r="Y434" s="2435"/>
      <c r="Z434" s="2435"/>
      <c r="AA434" s="2435"/>
      <c r="AB434" s="2435"/>
      <c r="AC434" s="2435"/>
      <c r="AD434" s="2435"/>
      <c r="AE434" s="2435"/>
      <c r="AF434" s="594"/>
      <c r="AG434" s="594"/>
      <c r="AH434" s="594"/>
      <c r="AI434" s="594"/>
      <c r="AJ434" s="594"/>
      <c r="AK434" s="594"/>
      <c r="AL434" s="750"/>
      <c r="AM434" s="570"/>
      <c r="AO434" s="550"/>
      <c r="AP434" s="550"/>
    </row>
    <row r="435" spans="1:60" s="550" customFormat="1" ht="12.75" customHeight="1">
      <c r="A435" s="536"/>
      <c r="B435" s="14"/>
      <c r="C435" s="731"/>
      <c r="D435" s="14"/>
      <c r="E435" s="691"/>
      <c r="F435" s="2435"/>
      <c r="G435" s="2435"/>
      <c r="H435" s="2435"/>
      <c r="I435" s="2435"/>
      <c r="J435" s="2435"/>
      <c r="K435" s="2435"/>
      <c r="L435" s="2435"/>
      <c r="M435" s="2435"/>
      <c r="N435" s="2435"/>
      <c r="O435" s="2435"/>
      <c r="P435" s="2435"/>
      <c r="Q435" s="2435"/>
      <c r="R435" s="2435"/>
      <c r="S435" s="2435"/>
      <c r="T435" s="2435"/>
      <c r="U435" s="2435"/>
      <c r="V435" s="2435"/>
      <c r="W435" s="2435"/>
      <c r="X435" s="2435"/>
      <c r="Y435" s="2435"/>
      <c r="Z435" s="2435"/>
      <c r="AA435" s="2435"/>
      <c r="AB435" s="2435"/>
      <c r="AC435" s="2435"/>
      <c r="AD435" s="2435"/>
      <c r="AE435" s="2435"/>
      <c r="AF435" s="594"/>
      <c r="AG435" s="594"/>
      <c r="AH435" s="594"/>
      <c r="AI435" s="594"/>
      <c r="AJ435" s="594"/>
      <c r="AK435" s="594"/>
      <c r="AL435" s="750"/>
      <c r="AM435" s="570"/>
      <c r="AN435" s="597"/>
    </row>
    <row r="436" spans="1:60" s="550" customFormat="1" ht="12.75" customHeight="1">
      <c r="A436" s="536"/>
      <c r="B436" s="14"/>
      <c r="C436" s="751"/>
      <c r="D436" s="730"/>
      <c r="E436" s="719"/>
      <c r="F436" s="2435"/>
      <c r="G436" s="2435"/>
      <c r="H436" s="2435"/>
      <c r="I436" s="2435"/>
      <c r="J436" s="2435"/>
      <c r="K436" s="2435"/>
      <c r="L436" s="2435"/>
      <c r="M436" s="2435"/>
      <c r="N436" s="2435"/>
      <c r="O436" s="2435"/>
      <c r="P436" s="2435"/>
      <c r="Q436" s="2435"/>
      <c r="R436" s="2435"/>
      <c r="S436" s="2435"/>
      <c r="T436" s="2435"/>
      <c r="U436" s="2435"/>
      <c r="V436" s="2435"/>
      <c r="W436" s="2435"/>
      <c r="X436" s="2435"/>
      <c r="Y436" s="2435"/>
      <c r="Z436" s="2435"/>
      <c r="AA436" s="2435"/>
      <c r="AB436" s="2435"/>
      <c r="AC436" s="2435"/>
      <c r="AD436" s="2435"/>
      <c r="AE436" s="243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5"/>
      <c r="G437" s="2435"/>
      <c r="H437" s="2435"/>
      <c r="I437" s="2435"/>
      <c r="J437" s="2435"/>
      <c r="K437" s="2435"/>
      <c r="L437" s="2435"/>
      <c r="M437" s="2435"/>
      <c r="N437" s="2435"/>
      <c r="O437" s="2435"/>
      <c r="P437" s="2435"/>
      <c r="Q437" s="2435"/>
      <c r="R437" s="2435"/>
      <c r="S437" s="2435"/>
      <c r="T437" s="2435"/>
      <c r="U437" s="2435"/>
      <c r="V437" s="2435"/>
      <c r="W437" s="2435"/>
      <c r="X437" s="2435"/>
      <c r="Y437" s="2435"/>
      <c r="Z437" s="2435"/>
      <c r="AA437" s="2435"/>
      <c r="AB437" s="2435"/>
      <c r="AC437" s="2435"/>
      <c r="AD437" s="2435"/>
      <c r="AE437" s="2435"/>
      <c r="AF437" s="594"/>
      <c r="AG437" s="594"/>
      <c r="AH437" s="594"/>
      <c r="AI437" s="594"/>
      <c r="AJ437" s="594"/>
      <c r="AK437" s="594"/>
      <c r="AL437" s="750"/>
      <c r="AM437" s="570"/>
      <c r="AN437" s="597"/>
    </row>
    <row r="438" spans="1:60" s="550" customFormat="1" ht="12.75" customHeight="1">
      <c r="A438" s="536"/>
      <c r="B438" s="14"/>
      <c r="C438" s="751"/>
      <c r="D438" s="730"/>
      <c r="E438" s="719"/>
      <c r="F438" s="2435"/>
      <c r="G438" s="2435"/>
      <c r="H438" s="2435"/>
      <c r="I438" s="2435"/>
      <c r="J438" s="2435"/>
      <c r="K438" s="2435"/>
      <c r="L438" s="2435"/>
      <c r="M438" s="2435"/>
      <c r="N438" s="2435"/>
      <c r="O438" s="2435"/>
      <c r="P438" s="2435"/>
      <c r="Q438" s="2435"/>
      <c r="R438" s="2435"/>
      <c r="S438" s="2435"/>
      <c r="T438" s="2435"/>
      <c r="U438" s="2435"/>
      <c r="V438" s="2435"/>
      <c r="W438" s="2435"/>
      <c r="X438" s="2435"/>
      <c r="Y438" s="2435"/>
      <c r="Z438" s="2435"/>
      <c r="AA438" s="2435"/>
      <c r="AB438" s="2435"/>
      <c r="AC438" s="2435"/>
      <c r="AD438" s="2435"/>
      <c r="AE438" s="2435"/>
      <c r="AF438" s="594"/>
      <c r="AG438" s="594"/>
      <c r="AH438" s="594"/>
      <c r="AI438" s="594"/>
      <c r="AJ438" s="594"/>
      <c r="AK438" s="594"/>
      <c r="AL438" s="750"/>
      <c r="AM438" s="570"/>
      <c r="AN438" s="597"/>
    </row>
    <row r="439" spans="1:60" s="550" customFormat="1" ht="12.75" customHeight="1">
      <c r="A439" s="536"/>
      <c r="B439" s="14"/>
      <c r="C439" s="751"/>
      <c r="D439" s="730"/>
      <c r="E439" s="719"/>
      <c r="F439" s="2435"/>
      <c r="G439" s="2435"/>
      <c r="H439" s="2435"/>
      <c r="I439" s="2435"/>
      <c r="J439" s="2435"/>
      <c r="K439" s="2435"/>
      <c r="L439" s="2435"/>
      <c r="M439" s="2435"/>
      <c r="N439" s="2435"/>
      <c r="O439" s="2435"/>
      <c r="P439" s="2435"/>
      <c r="Q439" s="2435"/>
      <c r="R439" s="2435"/>
      <c r="S439" s="2435"/>
      <c r="T439" s="2435"/>
      <c r="U439" s="2435"/>
      <c r="V439" s="2435"/>
      <c r="W439" s="2435"/>
      <c r="X439" s="2435"/>
      <c r="Y439" s="2435"/>
      <c r="Z439" s="2435"/>
      <c r="AA439" s="2435"/>
      <c r="AB439" s="2435"/>
      <c r="AC439" s="2435"/>
      <c r="AD439" s="2435"/>
      <c r="AE439" s="2435"/>
      <c r="AF439" s="594"/>
      <c r="AG439" s="594"/>
      <c r="AH439" s="594"/>
      <c r="AI439" s="594"/>
      <c r="AJ439" s="594"/>
      <c r="AK439" s="594"/>
      <c r="AL439" s="750"/>
      <c r="AM439" s="570"/>
      <c r="AN439" s="597"/>
    </row>
    <row r="440" spans="1:60" s="550" customFormat="1" ht="12.75" customHeight="1">
      <c r="A440" s="536"/>
      <c r="B440" s="14"/>
      <c r="C440" s="751"/>
      <c r="D440" s="730"/>
      <c r="E440" s="719"/>
      <c r="F440" s="2435"/>
      <c r="G440" s="2435"/>
      <c r="H440" s="2435"/>
      <c r="I440" s="2435"/>
      <c r="J440" s="2435"/>
      <c r="K440" s="2435"/>
      <c r="L440" s="2435"/>
      <c r="M440" s="2435"/>
      <c r="N440" s="2435"/>
      <c r="O440" s="2435"/>
      <c r="P440" s="2435"/>
      <c r="Q440" s="2435"/>
      <c r="R440" s="2435"/>
      <c r="S440" s="2435"/>
      <c r="T440" s="2435"/>
      <c r="U440" s="2435"/>
      <c r="V440" s="2435"/>
      <c r="W440" s="2435"/>
      <c r="X440" s="2435"/>
      <c r="Y440" s="2435"/>
      <c r="Z440" s="2435"/>
      <c r="AA440" s="2435"/>
      <c r="AB440" s="2435"/>
      <c r="AC440" s="2435"/>
      <c r="AD440" s="2435"/>
      <c r="AE440" s="2435"/>
      <c r="AF440" s="594"/>
      <c r="AG440" s="594"/>
      <c r="AH440" s="594"/>
      <c r="AI440" s="594"/>
      <c r="AJ440" s="594"/>
      <c r="AK440" s="594"/>
      <c r="AL440" s="750"/>
      <c r="AM440" s="570"/>
      <c r="AN440" s="597"/>
    </row>
    <row r="441" spans="1:60" s="550" customFormat="1" ht="17.25" customHeight="1">
      <c r="A441" s="536"/>
      <c r="B441" s="14"/>
      <c r="C441" s="751"/>
      <c r="D441" s="730"/>
      <c r="E441" s="719"/>
      <c r="F441" s="2435"/>
      <c r="G441" s="2435"/>
      <c r="H441" s="2435"/>
      <c r="I441" s="2435"/>
      <c r="J441" s="2435"/>
      <c r="K441" s="2435"/>
      <c r="L441" s="2435"/>
      <c r="M441" s="2435"/>
      <c r="N441" s="2435"/>
      <c r="O441" s="2435"/>
      <c r="P441" s="2435"/>
      <c r="Q441" s="2435"/>
      <c r="R441" s="2435"/>
      <c r="S441" s="2435"/>
      <c r="T441" s="2435"/>
      <c r="U441" s="2435"/>
      <c r="V441" s="2435"/>
      <c r="W441" s="2435"/>
      <c r="X441" s="2435"/>
      <c r="Y441" s="2435"/>
      <c r="Z441" s="2435"/>
      <c r="AA441" s="2435"/>
      <c r="AB441" s="2435"/>
      <c r="AC441" s="2435"/>
      <c r="AD441" s="2435"/>
      <c r="AE441" s="2435"/>
      <c r="AL441" s="732"/>
      <c r="AM441" s="570"/>
      <c r="AN441" s="597"/>
    </row>
    <row r="442" spans="1:60" s="550" customFormat="1" ht="12.75" customHeight="1">
      <c r="A442" s="536"/>
      <c r="B442" s="14"/>
      <c r="C442" s="2444" t="s">
        <v>592</v>
      </c>
      <c r="D442" s="2445"/>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4" t="s">
        <v>1463</v>
      </c>
      <c r="AG442" s="2524"/>
      <c r="AH442" s="2524"/>
      <c r="AI442" s="2524"/>
      <c r="AJ442" s="2524"/>
      <c r="AK442" s="2524"/>
      <c r="AL442" s="253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34" t="s">
        <v>1489</v>
      </c>
      <c r="G445" s="2434"/>
      <c r="H445" s="2434"/>
      <c r="I445" s="2434"/>
      <c r="J445" s="2434"/>
      <c r="K445" s="2434"/>
      <c r="L445" s="2434"/>
      <c r="M445" s="2434"/>
      <c r="N445" s="2434"/>
      <c r="O445" s="2434"/>
      <c r="P445" s="2434"/>
      <c r="Q445" s="2434"/>
      <c r="R445" s="2434"/>
      <c r="S445" s="2434"/>
      <c r="T445" s="2434"/>
      <c r="U445" s="2434"/>
      <c r="V445" s="2434"/>
      <c r="W445" s="2434"/>
      <c r="X445" s="2434"/>
      <c r="Y445" s="2434"/>
      <c r="Z445" s="2434"/>
      <c r="AA445" s="2434"/>
      <c r="AB445" s="2434"/>
      <c r="AC445" s="2434"/>
      <c r="AD445" s="2434"/>
      <c r="AE445" s="2434"/>
      <c r="AF445" s="714"/>
      <c r="AG445" s="714"/>
      <c r="AH445" s="714"/>
      <c r="AI445" s="714"/>
      <c r="AJ445" s="714"/>
      <c r="AK445" s="714"/>
      <c r="AL445" s="745"/>
      <c r="AM445" s="570"/>
      <c r="AN445" s="597"/>
    </row>
    <row r="446" spans="1:60" s="550" customFormat="1" ht="12.75" customHeight="1">
      <c r="A446" s="536"/>
      <c r="B446" s="14"/>
      <c r="C446" s="751"/>
      <c r="D446" s="730"/>
      <c r="E446" s="719"/>
      <c r="F446" s="2435"/>
      <c r="G446" s="2435"/>
      <c r="H446" s="2435"/>
      <c r="I446" s="2435"/>
      <c r="J446" s="2435"/>
      <c r="K446" s="2435"/>
      <c r="L446" s="2435"/>
      <c r="M446" s="2435"/>
      <c r="N446" s="2435"/>
      <c r="O446" s="2435"/>
      <c r="P446" s="2435"/>
      <c r="Q446" s="2435"/>
      <c r="R446" s="2435"/>
      <c r="S446" s="2435"/>
      <c r="T446" s="2435"/>
      <c r="U446" s="2435"/>
      <c r="V446" s="2435"/>
      <c r="W446" s="2435"/>
      <c r="X446" s="2435"/>
      <c r="Y446" s="2435"/>
      <c r="Z446" s="2435"/>
      <c r="AA446" s="2435"/>
      <c r="AB446" s="2435"/>
      <c r="AC446" s="2435"/>
      <c r="AD446" s="2435"/>
      <c r="AE446" s="2435"/>
      <c r="AF446" s="591"/>
      <c r="AG446" s="591"/>
      <c r="AH446" s="591"/>
      <c r="AI446" s="591"/>
      <c r="AJ446" s="591"/>
      <c r="AK446" s="591"/>
      <c r="AL446" s="720"/>
      <c r="AM446" s="570"/>
      <c r="AN446" s="597"/>
    </row>
    <row r="447" spans="1:60" s="550" customFormat="1" ht="12.75" customHeight="1">
      <c r="A447" s="536"/>
      <c r="B447" s="14"/>
      <c r="C447" s="751"/>
      <c r="D447" s="730"/>
      <c r="E447" s="719"/>
      <c r="F447" s="2435"/>
      <c r="G447" s="2435"/>
      <c r="H447" s="2435"/>
      <c r="I447" s="2435"/>
      <c r="J447" s="2435"/>
      <c r="K447" s="2435"/>
      <c r="L447" s="2435"/>
      <c r="M447" s="2435"/>
      <c r="N447" s="2435"/>
      <c r="O447" s="2435"/>
      <c r="P447" s="2435"/>
      <c r="Q447" s="2435"/>
      <c r="R447" s="2435"/>
      <c r="S447" s="2435"/>
      <c r="T447" s="2435"/>
      <c r="U447" s="2435"/>
      <c r="V447" s="2435"/>
      <c r="W447" s="2435"/>
      <c r="X447" s="2435"/>
      <c r="Y447" s="2435"/>
      <c r="Z447" s="2435"/>
      <c r="AA447" s="2435"/>
      <c r="AB447" s="2435"/>
      <c r="AC447" s="2435"/>
      <c r="AD447" s="2435"/>
      <c r="AE447" s="2435"/>
      <c r="AF447" s="591"/>
      <c r="AG447" s="591"/>
      <c r="AH447" s="591"/>
      <c r="AI447" s="591"/>
      <c r="AJ447" s="591"/>
      <c r="AK447" s="591"/>
      <c r="AL447" s="720"/>
      <c r="AM447" s="570"/>
      <c r="AN447" s="597"/>
    </row>
    <row r="448" spans="1:60" s="550" customFormat="1" ht="12.75" customHeight="1">
      <c r="A448" s="536"/>
      <c r="B448" s="14"/>
      <c r="C448" s="751"/>
      <c r="D448" s="730"/>
      <c r="E448" s="719"/>
      <c r="F448" s="2435"/>
      <c r="G448" s="2435"/>
      <c r="H448" s="2435"/>
      <c r="I448" s="2435"/>
      <c r="J448" s="2435"/>
      <c r="K448" s="2435"/>
      <c r="L448" s="2435"/>
      <c r="M448" s="2435"/>
      <c r="N448" s="2435"/>
      <c r="O448" s="2435"/>
      <c r="P448" s="2435"/>
      <c r="Q448" s="2435"/>
      <c r="R448" s="2435"/>
      <c r="S448" s="2435"/>
      <c r="T448" s="2435"/>
      <c r="U448" s="2435"/>
      <c r="V448" s="2435"/>
      <c r="W448" s="2435"/>
      <c r="X448" s="2435"/>
      <c r="Y448" s="2435"/>
      <c r="Z448" s="2435"/>
      <c r="AA448" s="2435"/>
      <c r="AB448" s="2435"/>
      <c r="AC448" s="2435"/>
      <c r="AD448" s="2435"/>
      <c r="AE448" s="2435"/>
      <c r="AL448" s="732"/>
      <c r="AM448" s="570"/>
      <c r="AN448" s="597"/>
    </row>
    <row r="449" spans="1:40" s="550" customFormat="1" ht="12.75" customHeight="1">
      <c r="A449" s="536"/>
      <c r="B449" s="14"/>
      <c r="C449" s="2444" t="s">
        <v>592</v>
      </c>
      <c r="D449" s="2445"/>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4" t="s">
        <v>1463</v>
      </c>
      <c r="AG449" s="2524"/>
      <c r="AH449" s="2524"/>
      <c r="AI449" s="2524"/>
      <c r="AJ449" s="2524"/>
      <c r="AK449" s="2524"/>
      <c r="AL449" s="253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0" t="s">
        <v>592</v>
      </c>
      <c r="D453" s="2561"/>
      <c r="E453" s="715" t="s">
        <v>1498</v>
      </c>
      <c r="F453" s="2434" t="s">
        <v>1499</v>
      </c>
      <c r="G453" s="2434"/>
      <c r="H453" s="2434"/>
      <c r="I453" s="2434"/>
      <c r="J453" s="2434"/>
      <c r="K453" s="2434"/>
      <c r="L453" s="2434"/>
      <c r="M453" s="2434"/>
      <c r="N453" s="2434"/>
      <c r="O453" s="2434"/>
      <c r="P453" s="2434"/>
      <c r="Q453" s="2434"/>
      <c r="R453" s="2434"/>
      <c r="S453" s="2434"/>
      <c r="T453" s="2434"/>
      <c r="U453" s="2434"/>
      <c r="V453" s="2434"/>
      <c r="W453" s="2434"/>
      <c r="X453" s="2434"/>
      <c r="Y453" s="2434"/>
      <c r="Z453" s="2434"/>
      <c r="AA453" s="2434"/>
      <c r="AB453" s="2434"/>
      <c r="AC453" s="2434"/>
      <c r="AD453" s="2434"/>
      <c r="AE453" s="2434"/>
      <c r="AF453" s="2462" t="s">
        <v>1463</v>
      </c>
      <c r="AG453" s="2462"/>
      <c r="AH453" s="2462"/>
      <c r="AI453" s="2462"/>
      <c r="AJ453" s="2462"/>
      <c r="AK453" s="2462"/>
      <c r="AL453" s="2463"/>
      <c r="AM453" s="570"/>
      <c r="AN453" s="753"/>
    </row>
    <row r="454" spans="1:40" s="550" customFormat="1" ht="12.75" customHeight="1">
      <c r="A454" s="536"/>
      <c r="B454" s="14"/>
      <c r="C454" s="751"/>
      <c r="D454" s="730"/>
      <c r="E454" s="719"/>
      <c r="F454" s="2435"/>
      <c r="G454" s="2435"/>
      <c r="H454" s="2435"/>
      <c r="I454" s="2435"/>
      <c r="J454" s="2435"/>
      <c r="K454" s="2435"/>
      <c r="L454" s="2435"/>
      <c r="M454" s="2435"/>
      <c r="N454" s="2435"/>
      <c r="O454" s="2435"/>
      <c r="P454" s="2435"/>
      <c r="Q454" s="2435"/>
      <c r="R454" s="2435"/>
      <c r="S454" s="2435"/>
      <c r="T454" s="2435"/>
      <c r="U454" s="2435"/>
      <c r="V454" s="2435"/>
      <c r="W454" s="2435"/>
      <c r="X454" s="2435"/>
      <c r="Y454" s="2435"/>
      <c r="Z454" s="2435"/>
      <c r="AA454" s="2435"/>
      <c r="AB454" s="2435"/>
      <c r="AC454" s="2435"/>
      <c r="AD454" s="2435"/>
      <c r="AE454" s="2435"/>
      <c r="AF454" s="591"/>
      <c r="AG454" s="591"/>
      <c r="AH454" s="591"/>
      <c r="AI454" s="591"/>
      <c r="AJ454" s="591"/>
      <c r="AK454" s="591"/>
      <c r="AL454" s="720"/>
      <c r="AM454" s="570"/>
      <c r="AN454" s="754"/>
    </row>
    <row r="455" spans="1:40" s="550" customFormat="1" ht="17.649999999999999" customHeight="1">
      <c r="A455" s="536"/>
      <c r="B455" s="14"/>
      <c r="C455" s="756"/>
      <c r="D455" s="723"/>
      <c r="E455" s="724"/>
      <c r="F455" s="2436"/>
      <c r="G455" s="2436"/>
      <c r="H455" s="2436"/>
      <c r="I455" s="2436"/>
      <c r="J455" s="2436"/>
      <c r="K455" s="2436"/>
      <c r="L455" s="2436"/>
      <c r="M455" s="2436"/>
      <c r="N455" s="2436"/>
      <c r="O455" s="2436"/>
      <c r="P455" s="2436"/>
      <c r="Q455" s="2436"/>
      <c r="R455" s="2436"/>
      <c r="S455" s="2436"/>
      <c r="T455" s="2436"/>
      <c r="U455" s="2436"/>
      <c r="V455" s="2436"/>
      <c r="W455" s="2436"/>
      <c r="X455" s="2436"/>
      <c r="Y455" s="2436"/>
      <c r="Z455" s="2436"/>
      <c r="AA455" s="2436"/>
      <c r="AB455" s="2436"/>
      <c r="AC455" s="2436"/>
      <c r="AD455" s="2436"/>
      <c r="AE455" s="24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4" t="s">
        <v>592</v>
      </c>
      <c r="D457" s="2445"/>
      <c r="E457" s="715" t="s">
        <v>1504</v>
      </c>
      <c r="F457" s="2434" t="s">
        <v>1505</v>
      </c>
      <c r="G457" s="2434"/>
      <c r="H457" s="2434"/>
      <c r="I457" s="2434"/>
      <c r="J457" s="2434"/>
      <c r="K457" s="2434"/>
      <c r="L457" s="2434"/>
      <c r="M457" s="2434"/>
      <c r="N457" s="2434"/>
      <c r="O457" s="2434"/>
      <c r="P457" s="2434"/>
      <c r="Q457" s="2434"/>
      <c r="R457" s="2434"/>
      <c r="S457" s="2434"/>
      <c r="T457" s="2434"/>
      <c r="U457" s="2434"/>
      <c r="V457" s="2434"/>
      <c r="W457" s="2434"/>
      <c r="X457" s="2434"/>
      <c r="Y457" s="2434"/>
      <c r="Z457" s="2434"/>
      <c r="AA457" s="2434"/>
      <c r="AB457" s="2434"/>
      <c r="AC457" s="2434"/>
      <c r="AD457" s="2434"/>
      <c r="AE457" s="2434"/>
      <c r="AF457" s="2462" t="s">
        <v>1463</v>
      </c>
      <c r="AG457" s="2462"/>
      <c r="AH457" s="2462"/>
      <c r="AI457" s="2462"/>
      <c r="AJ457" s="2462"/>
      <c r="AK457" s="2462"/>
      <c r="AL457" s="2463"/>
      <c r="AM457" s="570"/>
      <c r="AN457" s="535"/>
    </row>
    <row r="458" spans="1:40" s="550" customFormat="1" ht="12.75" customHeight="1">
      <c r="A458" s="536"/>
      <c r="B458" s="14"/>
      <c r="C458" s="731"/>
      <c r="D458" s="14"/>
      <c r="E458" s="691"/>
      <c r="F458" s="2435"/>
      <c r="G458" s="2435"/>
      <c r="H458" s="2435"/>
      <c r="I458" s="2435"/>
      <c r="J458" s="2435"/>
      <c r="K458" s="2435"/>
      <c r="L458" s="2435"/>
      <c r="M458" s="2435"/>
      <c r="N458" s="2435"/>
      <c r="O458" s="2435"/>
      <c r="P458" s="2435"/>
      <c r="Q458" s="2435"/>
      <c r="R458" s="2435"/>
      <c r="S458" s="2435"/>
      <c r="T458" s="2435"/>
      <c r="U458" s="2435"/>
      <c r="V458" s="2435"/>
      <c r="W458" s="2435"/>
      <c r="X458" s="2435"/>
      <c r="Y458" s="2435"/>
      <c r="Z458" s="2435"/>
      <c r="AA458" s="2435"/>
      <c r="AB458" s="2435"/>
      <c r="AC458" s="2435"/>
      <c r="AD458" s="2435"/>
      <c r="AE458" s="2435"/>
      <c r="AF458" s="539"/>
      <c r="AG458" s="536"/>
      <c r="AL458" s="732"/>
      <c r="AM458" s="570"/>
      <c r="AN458" s="535"/>
    </row>
    <row r="459" spans="1:40" s="550" customFormat="1" ht="12.75" customHeight="1">
      <c r="A459" s="536"/>
      <c r="B459" s="14"/>
      <c r="C459" s="731"/>
      <c r="D459" s="14"/>
      <c r="E459" s="691"/>
      <c r="F459" s="2435"/>
      <c r="G459" s="2435"/>
      <c r="H459" s="2435"/>
      <c r="I459" s="2435"/>
      <c r="J459" s="2435"/>
      <c r="K459" s="2435"/>
      <c r="L459" s="2435"/>
      <c r="M459" s="2435"/>
      <c r="N459" s="2435"/>
      <c r="O459" s="2435"/>
      <c r="P459" s="2435"/>
      <c r="Q459" s="2435"/>
      <c r="R459" s="2435"/>
      <c r="S459" s="2435"/>
      <c r="T459" s="2435"/>
      <c r="U459" s="2435"/>
      <c r="V459" s="2435"/>
      <c r="W459" s="2435"/>
      <c r="X459" s="2435"/>
      <c r="Y459" s="2435"/>
      <c r="Z459" s="2435"/>
      <c r="AA459" s="2435"/>
      <c r="AB459" s="2435"/>
      <c r="AC459" s="2435"/>
      <c r="AD459" s="2435"/>
      <c r="AE459" s="2435"/>
      <c r="AF459" s="539"/>
      <c r="AG459" s="536"/>
      <c r="AL459" s="732"/>
      <c r="AM459" s="570"/>
      <c r="AN459" s="535"/>
    </row>
    <row r="460" spans="1:40" s="550" customFormat="1" ht="12.75" customHeight="1">
      <c r="A460" s="536"/>
      <c r="B460" s="14"/>
      <c r="C460" s="756"/>
      <c r="D460" s="723"/>
      <c r="E460" s="724"/>
      <c r="F460" s="2436"/>
      <c r="G460" s="2436"/>
      <c r="H460" s="2436"/>
      <c r="I460" s="2436"/>
      <c r="J460" s="2436"/>
      <c r="K460" s="2436"/>
      <c r="L460" s="2436"/>
      <c r="M460" s="2436"/>
      <c r="N460" s="2436"/>
      <c r="O460" s="2436"/>
      <c r="P460" s="2436"/>
      <c r="Q460" s="2436"/>
      <c r="R460" s="2436"/>
      <c r="S460" s="2436"/>
      <c r="T460" s="2436"/>
      <c r="U460" s="2436"/>
      <c r="V460" s="2436"/>
      <c r="W460" s="2436"/>
      <c r="X460" s="2436"/>
      <c r="Y460" s="2436"/>
      <c r="Z460" s="2436"/>
      <c r="AA460" s="2436"/>
      <c r="AB460" s="2436"/>
      <c r="AC460" s="2436"/>
      <c r="AD460" s="2436"/>
      <c r="AE460" s="24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34" t="s">
        <v>1508</v>
      </c>
      <c r="G462" s="2434"/>
      <c r="H462" s="2434"/>
      <c r="I462" s="2434"/>
      <c r="J462" s="2434"/>
      <c r="K462" s="2434"/>
      <c r="L462" s="2434"/>
      <c r="M462" s="2434"/>
      <c r="N462" s="2434"/>
      <c r="O462" s="2434"/>
      <c r="P462" s="2434"/>
      <c r="Q462" s="2434"/>
      <c r="R462" s="2434"/>
      <c r="S462" s="2434"/>
      <c r="T462" s="2434"/>
      <c r="U462" s="2434"/>
      <c r="V462" s="2434"/>
      <c r="W462" s="2434"/>
      <c r="X462" s="2434"/>
      <c r="Y462" s="2434"/>
      <c r="Z462" s="2434"/>
      <c r="AA462" s="2434"/>
      <c r="AB462" s="2434"/>
      <c r="AC462" s="2434"/>
      <c r="AD462" s="2434"/>
      <c r="AE462" s="2434"/>
      <c r="AF462" s="2434"/>
      <c r="AG462" s="744"/>
      <c r="AH462" s="714"/>
      <c r="AI462" s="714"/>
      <c r="AJ462" s="714"/>
      <c r="AK462" s="714"/>
      <c r="AL462" s="745"/>
      <c r="AM462" s="570"/>
      <c r="AN462" s="597"/>
    </row>
    <row r="463" spans="1:40" s="550" customFormat="1" ht="12.75" customHeight="1">
      <c r="A463" s="536"/>
      <c r="B463" s="14"/>
      <c r="C463" s="731"/>
      <c r="D463" s="14"/>
      <c r="E463" s="691"/>
      <c r="F463" s="2435"/>
      <c r="G463" s="2435"/>
      <c r="H463" s="2435"/>
      <c r="I463" s="2435"/>
      <c r="J463" s="2435"/>
      <c r="K463" s="2435"/>
      <c r="L463" s="2435"/>
      <c r="M463" s="2435"/>
      <c r="N463" s="2435"/>
      <c r="O463" s="2435"/>
      <c r="P463" s="2435"/>
      <c r="Q463" s="2435"/>
      <c r="R463" s="2435"/>
      <c r="S463" s="2435"/>
      <c r="T463" s="2435"/>
      <c r="U463" s="2435"/>
      <c r="V463" s="2435"/>
      <c r="W463" s="2435"/>
      <c r="X463" s="2435"/>
      <c r="Y463" s="2435"/>
      <c r="Z463" s="2435"/>
      <c r="AA463" s="2435"/>
      <c r="AB463" s="2435"/>
      <c r="AC463" s="2435"/>
      <c r="AD463" s="2435"/>
      <c r="AE463" s="2435"/>
      <c r="AF463" s="2435"/>
      <c r="AL463" s="732"/>
      <c r="AM463" s="570"/>
      <c r="AN463" s="597"/>
    </row>
    <row r="464" spans="1:40" s="550" customFormat="1" ht="12.75" customHeight="1">
      <c r="A464" s="536"/>
      <c r="B464" s="14"/>
      <c r="C464" s="739"/>
      <c r="F464" s="2435"/>
      <c r="G464" s="2435"/>
      <c r="H464" s="2435"/>
      <c r="I464" s="2435"/>
      <c r="J464" s="2435"/>
      <c r="K464" s="2435"/>
      <c r="L464" s="2435"/>
      <c r="M464" s="2435"/>
      <c r="N464" s="2435"/>
      <c r="O464" s="2435"/>
      <c r="P464" s="2435"/>
      <c r="Q464" s="2435"/>
      <c r="R464" s="2435"/>
      <c r="S464" s="2435"/>
      <c r="T464" s="2435"/>
      <c r="U464" s="2435"/>
      <c r="V464" s="2435"/>
      <c r="W464" s="2435"/>
      <c r="X464" s="2435"/>
      <c r="Y464" s="2435"/>
      <c r="Z464" s="2435"/>
      <c r="AA464" s="2435"/>
      <c r="AB464" s="2435"/>
      <c r="AC464" s="2435"/>
      <c r="AD464" s="2435"/>
      <c r="AE464" s="2435"/>
      <c r="AF464" s="2435"/>
      <c r="AL464" s="732"/>
      <c r="AM464" s="570"/>
      <c r="AN464" s="597"/>
    </row>
    <row r="465" spans="1:58" s="550" customFormat="1" ht="12.75" customHeight="1">
      <c r="A465" s="536"/>
      <c r="B465" s="14"/>
      <c r="C465" s="739"/>
      <c r="F465" s="2435"/>
      <c r="G465" s="2435"/>
      <c r="H465" s="2435"/>
      <c r="I465" s="2435"/>
      <c r="J465" s="2435"/>
      <c r="K465" s="2435"/>
      <c r="L465" s="2435"/>
      <c r="M465" s="2435"/>
      <c r="N465" s="2435"/>
      <c r="O465" s="2435"/>
      <c r="P465" s="2435"/>
      <c r="Q465" s="2435"/>
      <c r="R465" s="2435"/>
      <c r="S465" s="2435"/>
      <c r="T465" s="2435"/>
      <c r="U465" s="2435"/>
      <c r="V465" s="2435"/>
      <c r="W465" s="2435"/>
      <c r="X465" s="2435"/>
      <c r="Y465" s="2435"/>
      <c r="Z465" s="2435"/>
      <c r="AA465" s="2435"/>
      <c r="AB465" s="2435"/>
      <c r="AC465" s="2435"/>
      <c r="AD465" s="2435"/>
      <c r="AE465" s="2435"/>
      <c r="AF465" s="2435"/>
      <c r="AL465" s="732"/>
      <c r="AM465" s="570"/>
      <c r="AN465" s="597"/>
    </row>
    <row r="466" spans="1:58" s="550" customFormat="1" ht="12.75" customHeight="1">
      <c r="A466" s="536"/>
      <c r="B466" s="14"/>
      <c r="C466" s="2444" t="s">
        <v>592</v>
      </c>
      <c r="D466" s="2445"/>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6" t="s">
        <v>1463</v>
      </c>
      <c r="AG466" s="2446"/>
      <c r="AH466" s="2446"/>
      <c r="AI466" s="2446"/>
      <c r="AJ466" s="2446"/>
      <c r="AK466" s="2446"/>
      <c r="AL466" s="244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31">
        <f>IF(Application!D214="N/A",AS358,AS360)</f>
        <v>10</v>
      </c>
      <c r="AL469" s="2432"/>
      <c r="AM469" s="243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6" t="s">
        <v>1512</v>
      </c>
      <c r="AF472" s="2446"/>
      <c r="AG472" s="2446"/>
      <c r="AH472" s="2446"/>
      <c r="AI472" s="2446"/>
      <c r="AJ472" s="2446"/>
      <c r="AK472" s="2446"/>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53" t="s">
        <v>592</v>
      </c>
      <c r="D478" s="2454"/>
      <c r="E478" s="761" t="s">
        <v>508</v>
      </c>
      <c r="F478" s="2531" t="s">
        <v>1518</v>
      </c>
      <c r="G478" s="2531"/>
      <c r="H478" s="2531"/>
      <c r="I478" s="2531"/>
      <c r="J478" s="2531"/>
      <c r="K478" s="2531"/>
      <c r="L478" s="2531"/>
      <c r="M478" s="2531"/>
      <c r="N478" s="2531"/>
      <c r="O478" s="2531"/>
      <c r="P478" s="2531"/>
      <c r="Q478" s="2531"/>
      <c r="R478" s="2531"/>
      <c r="S478" s="2531"/>
      <c r="T478" s="2531"/>
      <c r="U478" s="2531"/>
      <c r="V478" s="2531"/>
      <c r="W478" s="2531"/>
      <c r="X478" s="2531"/>
      <c r="Y478" s="2531"/>
      <c r="Z478" s="2531"/>
      <c r="AA478" s="2531"/>
      <c r="AB478" s="2531"/>
      <c r="AC478" s="2531"/>
      <c r="AD478" s="2531"/>
      <c r="AE478" s="2531"/>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32"/>
      <c r="G479" s="2532"/>
      <c r="H479" s="2532"/>
      <c r="I479" s="2532"/>
      <c r="J479" s="2532"/>
      <c r="K479" s="2532"/>
      <c r="L479" s="2532"/>
      <c r="M479" s="2532"/>
      <c r="N479" s="2532"/>
      <c r="O479" s="2532"/>
      <c r="P479" s="2532"/>
      <c r="Q479" s="2532"/>
      <c r="R479" s="2532"/>
      <c r="S479" s="2532"/>
      <c r="T479" s="2532"/>
      <c r="U479" s="2532"/>
      <c r="V479" s="2532"/>
      <c r="W479" s="2532"/>
      <c r="X479" s="2532"/>
      <c r="Y479" s="2532"/>
      <c r="Z479" s="2532"/>
      <c r="AA479" s="2532"/>
      <c r="AB479" s="2532"/>
      <c r="AC479" s="2532"/>
      <c r="AD479" s="2532"/>
      <c r="AE479" s="2532"/>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9" t="s">
        <v>592</v>
      </c>
      <c r="G480" s="2459"/>
      <c r="H480" s="2459"/>
      <c r="I480" s="2459"/>
      <c r="J480" s="2459"/>
      <c r="K480" s="2459"/>
      <c r="L480" s="2459"/>
      <c r="M480" s="2459"/>
      <c r="N480" s="2459"/>
      <c r="O480" s="2459"/>
      <c r="P480" s="2459"/>
      <c r="Q480" s="2459"/>
      <c r="R480" s="2459"/>
      <c r="S480" s="2459"/>
      <c r="T480" s="2459"/>
      <c r="U480" s="2459"/>
      <c r="V480" s="2459"/>
      <c r="W480" s="2459"/>
      <c r="X480" s="2459"/>
      <c r="Y480" s="2459"/>
      <c r="Z480" s="2459"/>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60" t="s">
        <v>546</v>
      </c>
      <c r="D482" s="2461"/>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9" t="s">
        <v>592</v>
      </c>
      <c r="W485" s="2439"/>
      <c r="X485" s="2439"/>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9" t="s">
        <v>592</v>
      </c>
      <c r="W487" s="2439"/>
      <c r="X487" s="2439"/>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9" t="s">
        <v>592</v>
      </c>
      <c r="W492" s="2439"/>
      <c r="X492" s="2439"/>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8"/>
      <c r="E495" s="2458"/>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9" t="s">
        <v>592</v>
      </c>
      <c r="W496" s="2439"/>
      <c r="X496" s="2439"/>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9" t="s">
        <v>592</v>
      </c>
      <c r="W498" s="2439"/>
      <c r="X498" s="2439"/>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3" t="s">
        <v>592</v>
      </c>
      <c r="D501" s="2454"/>
      <c r="E501" s="761" t="s">
        <v>508</v>
      </c>
      <c r="F501" s="2531" t="s">
        <v>1518</v>
      </c>
      <c r="G501" s="2531"/>
      <c r="H501" s="2531"/>
      <c r="I501" s="2531"/>
      <c r="J501" s="2531"/>
      <c r="K501" s="2531"/>
      <c r="L501" s="2531"/>
      <c r="M501" s="2531"/>
      <c r="N501" s="2531"/>
      <c r="O501" s="2531"/>
      <c r="P501" s="2531"/>
      <c r="Q501" s="2531"/>
      <c r="R501" s="2531"/>
      <c r="S501" s="2531"/>
      <c r="T501" s="2531"/>
      <c r="U501" s="2531"/>
      <c r="V501" s="2531"/>
      <c r="W501" s="2531"/>
      <c r="X501" s="2531"/>
      <c r="Y501" s="2531"/>
      <c r="Z501" s="2531"/>
      <c r="AA501" s="2531"/>
      <c r="AB501" s="2531"/>
      <c r="AC501" s="2531"/>
      <c r="AD501" s="2531"/>
      <c r="AE501" s="253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2"/>
      <c r="G502" s="2532"/>
      <c r="H502" s="2532"/>
      <c r="I502" s="2532"/>
      <c r="J502" s="2532"/>
      <c r="K502" s="2532"/>
      <c r="L502" s="2532"/>
      <c r="M502" s="2532"/>
      <c r="N502" s="2532"/>
      <c r="O502" s="2532"/>
      <c r="P502" s="2532"/>
      <c r="Q502" s="2532"/>
      <c r="R502" s="2532"/>
      <c r="S502" s="2532"/>
      <c r="T502" s="2532"/>
      <c r="U502" s="2532"/>
      <c r="V502" s="2532"/>
      <c r="W502" s="2532"/>
      <c r="X502" s="2532"/>
      <c r="Y502" s="2532"/>
      <c r="Z502" s="2532"/>
      <c r="AA502" s="2532"/>
      <c r="AB502" s="2532"/>
      <c r="AC502" s="2532"/>
      <c r="AD502" s="2532"/>
      <c r="AE502" s="253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2" t="s">
        <v>592</v>
      </c>
      <c r="G503" s="2452"/>
      <c r="H503" s="2452"/>
      <c r="I503" s="2452"/>
      <c r="J503" s="2452"/>
      <c r="K503" s="2452"/>
      <c r="L503" s="2452"/>
      <c r="M503" s="2452"/>
      <c r="N503" s="2452"/>
      <c r="O503" s="2452"/>
      <c r="P503" s="2452"/>
      <c r="Q503" s="2452"/>
      <c r="R503" s="2452"/>
      <c r="S503" s="2452"/>
      <c r="T503" s="2452"/>
      <c r="U503" s="2452"/>
      <c r="V503" s="2452"/>
      <c r="W503" s="2452"/>
      <c r="X503" s="2452"/>
      <c r="Y503" s="2452"/>
      <c r="Z503" s="2452"/>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3" t="s">
        <v>592</v>
      </c>
      <c r="D505" s="2454"/>
      <c r="E505" s="761" t="s">
        <v>758</v>
      </c>
      <c r="F505" s="2455" t="s">
        <v>1540</v>
      </c>
      <c r="G505" s="2455"/>
      <c r="H505" s="2455"/>
      <c r="I505" s="2455"/>
      <c r="J505" s="2455"/>
      <c r="K505" s="2455"/>
      <c r="L505" s="2455"/>
      <c r="M505" s="2455"/>
      <c r="N505" s="2455"/>
      <c r="O505" s="2455"/>
      <c r="P505" s="2455"/>
      <c r="Q505" s="2455"/>
      <c r="R505" s="2455"/>
      <c r="S505" s="2455"/>
      <c r="T505" s="2455"/>
      <c r="U505" s="2455"/>
      <c r="V505" s="2455"/>
      <c r="W505" s="2455"/>
      <c r="X505" s="2455"/>
      <c r="Y505" s="2455"/>
      <c r="Z505" s="2455"/>
      <c r="AA505" s="2455"/>
      <c r="AB505" s="2455"/>
      <c r="AC505" s="2455"/>
      <c r="AD505" s="2455"/>
      <c r="AE505" s="245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6"/>
      <c r="G506" s="2456"/>
      <c r="H506" s="2456"/>
      <c r="I506" s="2456"/>
      <c r="J506" s="2456"/>
      <c r="K506" s="2456"/>
      <c r="L506" s="2456"/>
      <c r="M506" s="2456"/>
      <c r="N506" s="2456"/>
      <c r="O506" s="2456"/>
      <c r="P506" s="2456"/>
      <c r="Q506" s="2456"/>
      <c r="R506" s="2456"/>
      <c r="S506" s="2456"/>
      <c r="T506" s="2456"/>
      <c r="U506" s="2456"/>
      <c r="V506" s="2456"/>
      <c r="W506" s="2456"/>
      <c r="X506" s="2456"/>
      <c r="Y506" s="2456"/>
      <c r="Z506" s="2456"/>
      <c r="AA506" s="2456"/>
      <c r="AB506" s="2456"/>
      <c r="AC506" s="2456"/>
      <c r="AD506" s="2456"/>
      <c r="AE506" s="245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7" t="s">
        <v>592</v>
      </c>
      <c r="G508" s="2457"/>
      <c r="H508" s="245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53" t="s">
        <v>592</v>
      </c>
      <c r="D510" s="2454"/>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73"/>
      <c r="D512" s="2458"/>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4" t="s">
        <v>592</v>
      </c>
      <c r="H513" s="2474"/>
      <c r="I513" s="2474"/>
      <c r="J513" s="2474"/>
      <c r="K513" s="2474"/>
      <c r="L513" s="2474"/>
      <c r="M513" s="2474"/>
      <c r="N513" s="2474"/>
      <c r="O513" s="2474"/>
      <c r="P513" s="2474"/>
      <c r="Q513" s="2474"/>
      <c r="R513" s="2474"/>
      <c r="S513" s="2474"/>
      <c r="T513" s="2474"/>
      <c r="U513" s="2474"/>
      <c r="V513" s="2474"/>
      <c r="W513" s="2474"/>
      <c r="X513" s="2474"/>
      <c r="Y513" s="2474"/>
      <c r="Z513" s="2474"/>
      <c r="AA513" s="2474"/>
      <c r="AB513" s="2474"/>
      <c r="AC513" s="2474"/>
      <c r="AD513" s="2474"/>
      <c r="AE513" s="2474"/>
      <c r="AF513" s="247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5" t="s">
        <v>592</v>
      </c>
      <c r="D515" s="2526"/>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5" t="s">
        <v>592</v>
      </c>
      <c r="D519" s="2526"/>
      <c r="F519" s="795" t="s">
        <v>1548</v>
      </c>
      <c r="G519" s="2435" t="s">
        <v>1549</v>
      </c>
      <c r="H519" s="2435"/>
      <c r="I519" s="2435"/>
      <c r="J519" s="2435"/>
      <c r="K519" s="2435"/>
      <c r="L519" s="2435"/>
      <c r="M519" s="2435"/>
      <c r="N519" s="2435"/>
      <c r="O519" s="2435"/>
      <c r="P519" s="2435"/>
      <c r="Q519" s="2435"/>
      <c r="R519" s="2435"/>
      <c r="S519" s="2435"/>
      <c r="T519" s="2435"/>
      <c r="U519" s="2435"/>
      <c r="V519" s="2435"/>
      <c r="W519" s="2435"/>
      <c r="X519" s="2435"/>
      <c r="Y519" s="2435"/>
      <c r="Z519" s="2435"/>
      <c r="AA519" s="2435"/>
      <c r="AB519" s="2435"/>
      <c r="AC519" s="2435"/>
      <c r="AD519" s="2435"/>
      <c r="AE519" s="2435"/>
      <c r="AF519" s="2435"/>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6"/>
      <c r="H520" s="2436"/>
      <c r="I520" s="2436"/>
      <c r="J520" s="2436"/>
      <c r="K520" s="2436"/>
      <c r="L520" s="2436"/>
      <c r="M520" s="2436"/>
      <c r="N520" s="2436"/>
      <c r="O520" s="2436"/>
      <c r="P520" s="2436"/>
      <c r="Q520" s="2436"/>
      <c r="R520" s="2436"/>
      <c r="S520" s="2436"/>
      <c r="T520" s="2436"/>
      <c r="U520" s="2436"/>
      <c r="V520" s="2436"/>
      <c r="W520" s="2436"/>
      <c r="X520" s="2436"/>
      <c r="Y520" s="2436"/>
      <c r="Z520" s="2436"/>
      <c r="AA520" s="2436"/>
      <c r="AB520" s="2436"/>
      <c r="AC520" s="2436"/>
      <c r="AD520" s="2436"/>
      <c r="AE520" s="2436"/>
      <c r="AF520" s="24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7" t="s">
        <v>592</v>
      </c>
      <c r="D523" s="2528"/>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9" t="s">
        <v>592</v>
      </c>
      <c r="G524" s="2529"/>
      <c r="H524" s="2529"/>
      <c r="I524" s="2529"/>
      <c r="J524" s="2529"/>
      <c r="K524" s="2529"/>
      <c r="L524" s="2529"/>
      <c r="M524" s="2529"/>
      <c r="N524" s="2529"/>
      <c r="O524" s="2529"/>
      <c r="P524" s="2529"/>
      <c r="Q524" s="2529"/>
      <c r="R524" s="2529"/>
      <c r="S524" s="2529"/>
      <c r="T524" s="2529"/>
      <c r="U524" s="2529"/>
      <c r="V524" s="2529"/>
      <c r="W524" s="2529"/>
      <c r="X524" s="2529"/>
      <c r="Y524" s="2529"/>
      <c r="Z524" s="2529"/>
      <c r="AA524" s="2529"/>
      <c r="AB524" s="2529"/>
      <c r="AC524" s="2529"/>
      <c r="AD524" s="2529"/>
      <c r="AE524" s="2529"/>
      <c r="AF524" s="252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0"/>
      <c r="G525" s="2530"/>
      <c r="H525" s="2530"/>
      <c r="I525" s="2530"/>
      <c r="J525" s="2530"/>
      <c r="K525" s="2530"/>
      <c r="L525" s="2530"/>
      <c r="M525" s="2530"/>
      <c r="N525" s="2530"/>
      <c r="O525" s="2530"/>
      <c r="P525" s="2530"/>
      <c r="Q525" s="2530"/>
      <c r="R525" s="2530"/>
      <c r="S525" s="2530"/>
      <c r="T525" s="2530"/>
      <c r="U525" s="2530"/>
      <c r="V525" s="2530"/>
      <c r="W525" s="2530"/>
      <c r="X525" s="2530"/>
      <c r="Y525" s="2530"/>
      <c r="Z525" s="2530"/>
      <c r="AA525" s="2530"/>
      <c r="AB525" s="2530"/>
      <c r="AC525" s="2530"/>
      <c r="AD525" s="2530"/>
      <c r="AE525" s="2530"/>
      <c r="AF525" s="253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31">
        <f>SUM(AG479:AG524)</f>
        <v>0</v>
      </c>
      <c r="AL535" s="2432"/>
      <c r="AM535" s="243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4" t="s">
        <v>1561</v>
      </c>
      <c r="AF538" s="2464"/>
      <c r="AG538" s="2464"/>
      <c r="AH538" s="2464"/>
      <c r="AI538" s="2464"/>
      <c r="AJ538" s="2464"/>
      <c r="AK538" s="2464"/>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5" t="s">
        <v>592</v>
      </c>
      <c r="D541" s="2445"/>
      <c r="E541" s="551"/>
      <c r="F541" s="2467" t="s">
        <v>1562</v>
      </c>
      <c r="G541" s="2468"/>
      <c r="H541" s="2468"/>
      <c r="I541" s="2468"/>
      <c r="J541" s="2468"/>
      <c r="K541" s="2468"/>
      <c r="L541" s="2468"/>
      <c r="M541" s="2468"/>
      <c r="N541" s="2468"/>
      <c r="O541" s="2468"/>
      <c r="P541" s="2468"/>
      <c r="Q541" s="2468"/>
      <c r="R541" s="2468"/>
      <c r="S541" s="2468"/>
      <c r="T541" s="2468"/>
      <c r="U541" s="2468"/>
      <c r="V541" s="2468"/>
      <c r="W541" s="2468"/>
      <c r="X541" s="2468"/>
      <c r="Y541" s="2468"/>
      <c r="Z541" s="2468"/>
      <c r="AA541" s="2468"/>
      <c r="AB541" s="2468"/>
      <c r="AC541" s="2468"/>
      <c r="AD541" s="2468"/>
      <c r="AE541" s="2468"/>
      <c r="AF541" s="2468"/>
      <c r="AG541" s="2468"/>
      <c r="AH541" s="2468"/>
      <c r="AI541" s="2468"/>
      <c r="AJ541" s="2468"/>
      <c r="AK541" s="2468"/>
      <c r="AL541" s="2469"/>
      <c r="AM541" s="595"/>
      <c r="AN541" s="597"/>
    </row>
    <row r="542" spans="1:81" s="550" customFormat="1" ht="12.75" customHeight="1">
      <c r="A542" s="539"/>
      <c r="B542" s="539"/>
      <c r="C542" s="551"/>
      <c r="D542" s="551"/>
      <c r="E542" s="551"/>
      <c r="F542" s="2470"/>
      <c r="G542" s="2471"/>
      <c r="H542" s="2471"/>
      <c r="I542" s="2471"/>
      <c r="J542" s="2471"/>
      <c r="K542" s="2471"/>
      <c r="L542" s="2471"/>
      <c r="M542" s="2471"/>
      <c r="N542" s="2471"/>
      <c r="O542" s="2471"/>
      <c r="P542" s="2471"/>
      <c r="Q542" s="2471"/>
      <c r="R542" s="2471"/>
      <c r="S542" s="2471"/>
      <c r="T542" s="2471"/>
      <c r="U542" s="2471"/>
      <c r="V542" s="2471"/>
      <c r="W542" s="2471"/>
      <c r="X542" s="2471"/>
      <c r="Y542" s="2471"/>
      <c r="Z542" s="2471"/>
      <c r="AA542" s="2471"/>
      <c r="AB542" s="2471"/>
      <c r="AC542" s="2471"/>
      <c r="AD542" s="2471"/>
      <c r="AE542" s="2471"/>
      <c r="AF542" s="2471"/>
      <c r="AG542" s="2471"/>
      <c r="AH542" s="2471"/>
      <c r="AI542" s="2471"/>
      <c r="AJ542" s="2471"/>
      <c r="AK542" s="2471"/>
      <c r="AL542" s="247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5" t="s">
        <v>546</v>
      </c>
      <c r="D544" s="2445"/>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3" t="s">
        <v>1564</v>
      </c>
      <c r="G545" s="2424"/>
      <c r="H545" s="2424"/>
      <c r="I545" s="2424"/>
      <c r="J545" s="2424"/>
      <c r="K545" s="2424"/>
      <c r="L545" s="2424"/>
      <c r="M545" s="2424"/>
      <c r="N545" s="2424"/>
      <c r="O545" s="2424"/>
      <c r="P545" s="2424"/>
      <c r="Q545" s="2424"/>
      <c r="R545" s="2424"/>
      <c r="S545" s="2424"/>
      <c r="T545" s="2424"/>
      <c r="U545" s="2424"/>
      <c r="V545" s="2424"/>
      <c r="W545" s="2424"/>
      <c r="X545" s="2424"/>
      <c r="Y545" s="2424"/>
      <c r="Z545" s="2424"/>
      <c r="AA545" s="2424"/>
      <c r="AB545" s="2424"/>
      <c r="AC545" s="2424"/>
      <c r="AD545" s="2424"/>
      <c r="AE545" s="2424"/>
      <c r="AF545" s="2424"/>
      <c r="AG545" s="2424"/>
      <c r="AH545" s="2424"/>
      <c r="AI545" s="2424"/>
      <c r="AJ545" s="2424"/>
      <c r="AK545" s="2424"/>
      <c r="AL545" s="2425"/>
      <c r="AM545" s="595"/>
      <c r="AN545" s="597"/>
      <c r="AS545" s="870"/>
      <c r="AT545" s="870"/>
      <c r="AU545" s="870"/>
      <c r="AV545" s="870"/>
      <c r="AW545" s="870"/>
    </row>
    <row r="546" spans="1:49" s="550" customFormat="1" ht="12.75" customHeight="1">
      <c r="B546" s="806"/>
      <c r="C546" s="806"/>
      <c r="D546" s="806"/>
      <c r="E546" s="806"/>
      <c r="F546" s="2423"/>
      <c r="G546" s="2424"/>
      <c r="H546" s="2424"/>
      <c r="I546" s="2424"/>
      <c r="J546" s="2424"/>
      <c r="K546" s="2424"/>
      <c r="L546" s="2424"/>
      <c r="M546" s="2424"/>
      <c r="N546" s="2424"/>
      <c r="O546" s="2424"/>
      <c r="P546" s="2424"/>
      <c r="Q546" s="2424"/>
      <c r="R546" s="2424"/>
      <c r="S546" s="2424"/>
      <c r="T546" s="2424"/>
      <c r="U546" s="2424"/>
      <c r="V546" s="2424"/>
      <c r="W546" s="2424"/>
      <c r="X546" s="2424"/>
      <c r="Y546" s="2424"/>
      <c r="Z546" s="2424"/>
      <c r="AA546" s="2424"/>
      <c r="AB546" s="2424"/>
      <c r="AC546" s="2424"/>
      <c r="AD546" s="2424"/>
      <c r="AE546" s="2424"/>
      <c r="AF546" s="2424"/>
      <c r="AG546" s="2424"/>
      <c r="AH546" s="2424"/>
      <c r="AI546" s="2424"/>
      <c r="AJ546" s="2424"/>
      <c r="AK546" s="2424"/>
      <c r="AL546" s="2425"/>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3" t="s">
        <v>1565</v>
      </c>
      <c r="G548" s="2424"/>
      <c r="H548" s="2424"/>
      <c r="I548" s="2424"/>
      <c r="J548" s="2424"/>
      <c r="K548" s="2424"/>
      <c r="L548" s="2424"/>
      <c r="M548" s="2424"/>
      <c r="N548" s="2424"/>
      <c r="O548" s="2424"/>
      <c r="P548" s="2424"/>
      <c r="Q548" s="2424"/>
      <c r="R548" s="2424"/>
      <c r="S548" s="2424"/>
      <c r="T548" s="2424"/>
      <c r="U548" s="2424"/>
      <c r="V548" s="2424"/>
      <c r="W548" s="2424"/>
      <c r="X548" s="2424"/>
      <c r="Y548" s="2424"/>
      <c r="Z548" s="2424"/>
      <c r="AA548" s="2424"/>
      <c r="AB548" s="2424"/>
      <c r="AC548" s="2424"/>
      <c r="AD548" s="2424"/>
      <c r="AE548" s="2424"/>
      <c r="AF548" s="2424"/>
      <c r="AG548" s="2424"/>
      <c r="AH548" s="2424"/>
      <c r="AI548" s="2424"/>
      <c r="AJ548" s="2424"/>
      <c r="AK548" s="2424"/>
      <c r="AL548" s="813"/>
      <c r="AM548" s="595"/>
      <c r="AN548" s="597"/>
    </row>
    <row r="549" spans="1:49" s="550" customFormat="1" ht="12.75" customHeight="1">
      <c r="B549" s="806"/>
      <c r="C549" s="806"/>
      <c r="D549" s="806"/>
      <c r="E549" s="806"/>
      <c r="F549" s="2426"/>
      <c r="G549" s="2427"/>
      <c r="H549" s="2427"/>
      <c r="I549" s="2427"/>
      <c r="J549" s="2427"/>
      <c r="K549" s="2427"/>
      <c r="L549" s="2427"/>
      <c r="M549" s="2427"/>
      <c r="N549" s="2427"/>
      <c r="O549" s="2427"/>
      <c r="P549" s="2427"/>
      <c r="Q549" s="2427"/>
      <c r="R549" s="2427"/>
      <c r="S549" s="2427"/>
      <c r="T549" s="2427"/>
      <c r="U549" s="2427"/>
      <c r="V549" s="2427"/>
      <c r="W549" s="2427"/>
      <c r="X549" s="2427"/>
      <c r="Y549" s="2427"/>
      <c r="Z549" s="2427"/>
      <c r="AA549" s="2427"/>
      <c r="AB549" s="2427"/>
      <c r="AC549" s="2427"/>
      <c r="AD549" s="2427"/>
      <c r="AE549" s="2427"/>
      <c r="AF549" s="2427"/>
      <c r="AG549" s="2427"/>
      <c r="AH549" s="2427"/>
      <c r="AI549" s="2427"/>
      <c r="AJ549" s="2427"/>
      <c r="AK549" s="242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2">
        <f>Application!AJ992</f>
        <v>43759543</v>
      </c>
      <c r="AQ550" s="2422"/>
      <c r="AR550" s="2422"/>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8">
        <f>'Sources and Uses Budget'!S107+'Sources and Uses Budget'!T107</f>
        <v>46628634</v>
      </c>
      <c r="AG551" s="2428"/>
      <c r="AH551" s="2428"/>
      <c r="AI551" s="2428"/>
      <c r="AJ551" s="2428"/>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9">
        <f>IFERROR(AP559,0)</f>
        <v>78549403.050000012</v>
      </c>
      <c r="AG552" s="2429"/>
      <c r="AH552" s="2429"/>
      <c r="AI552" s="2429"/>
      <c r="AJ552" s="2429"/>
      <c r="AK552" s="595"/>
      <c r="AL552" s="595"/>
      <c r="AM552" s="595"/>
      <c r="AN552" s="597"/>
      <c r="AP552" s="2422">
        <f>Application!AJ1045</f>
        <v>4813549.7300000004</v>
      </c>
      <c r="AQ552" s="2422"/>
      <c r="AR552" s="2422"/>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0">
        <f>IFERROR(ROUNDDOWN(IF(C544="YES",((1-(AF551/AF552))*2),(1-(AF551/AF552))),2),0)</f>
        <v>0.81</v>
      </c>
      <c r="AG553" s="2430"/>
      <c r="AH553" s="2430"/>
      <c r="AI553" s="2430"/>
      <c r="AJ553" s="2430"/>
      <c r="AK553" s="595"/>
      <c r="AL553" s="595"/>
      <c r="AM553" s="595"/>
      <c r="AN553" s="597"/>
      <c r="AP553" s="2418">
        <f>Application!AJ1049</f>
        <v>10502290.32</v>
      </c>
      <c r="AQ553" s="2418"/>
      <c r="AR553" s="2418"/>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7">
        <f>IF(((AP552+AP553)/AP550)&gt;0.8,0.8,((AP552+AP553)/AP550))</f>
        <v>0.35000000000000003</v>
      </c>
      <c r="AQ554" s="2437"/>
      <c r="AR554" s="2437"/>
      <c r="AS554" s="550" t="s">
        <v>2173</v>
      </c>
    </row>
    <row r="555" spans="1:49" s="550" customFormat="1" ht="12.75" customHeight="1">
      <c r="A555" s="624"/>
      <c r="B555" s="2504" t="s">
        <v>2033</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595"/>
      <c r="AL555" s="595"/>
      <c r="AM555" s="595"/>
      <c r="AN555" s="597"/>
    </row>
    <row r="556" spans="1:49" s="550" customFormat="1" ht="12.75" customHeight="1">
      <c r="A556" s="6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595"/>
      <c r="AL556" s="595"/>
      <c r="AM556" s="595"/>
      <c r="AN556" s="597"/>
      <c r="AP556" s="2422">
        <f>AP557-AP552-AP553</f>
        <v>63233563.000000007</v>
      </c>
      <c r="AQ556" s="2438"/>
      <c r="AR556" s="2438"/>
      <c r="AS556" s="550" t="s">
        <v>2175</v>
      </c>
    </row>
    <row r="557" spans="1:49" s="550" customFormat="1" ht="12.75" customHeight="1">
      <c r="A557" s="6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595"/>
      <c r="AL557" s="595"/>
      <c r="AM557" s="595"/>
      <c r="AN557" s="597"/>
      <c r="AP557" s="2422">
        <f>Application!AJ1053</f>
        <v>78549403.050000012</v>
      </c>
      <c r="AQ557" s="2422"/>
      <c r="AR557" s="2422"/>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13">
        <f>IFERROR(IF(AND(C541="N/A",C544="N/A"),0,IF(AF553=0,0,IF((AF553*100)&gt;12,12,(AF553*100)))),0)</f>
        <v>12</v>
      </c>
      <c r="AL559" s="2513"/>
      <c r="AM559" s="2514"/>
      <c r="AN559" s="597"/>
      <c r="AP559" s="2407">
        <f>AP556+(AP550*AP554)</f>
        <v>78549403.050000012</v>
      </c>
      <c r="AQ559" s="2408"/>
      <c r="AR559" s="240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4" t="s">
        <v>1315</v>
      </c>
      <c r="AF562" s="2464"/>
      <c r="AG562" s="2464"/>
      <c r="AH562" s="2464"/>
      <c r="AI562" s="2464"/>
      <c r="AJ562" s="2464"/>
      <c r="AK562" s="246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4" t="s">
        <v>2024</v>
      </c>
      <c r="C564" s="2424"/>
      <c r="D564" s="2424"/>
      <c r="E564" s="2424"/>
      <c r="F564" s="2424"/>
      <c r="G564" s="2424"/>
      <c r="H564" s="2424"/>
      <c r="I564" s="2424"/>
      <c r="J564" s="2424"/>
      <c r="K564" s="2424"/>
      <c r="L564" s="2424"/>
      <c r="M564" s="2424"/>
      <c r="N564" s="2424"/>
      <c r="O564" s="2424"/>
      <c r="P564" s="2424"/>
      <c r="Q564" s="2424"/>
      <c r="R564" s="2424"/>
      <c r="S564" s="2424"/>
      <c r="T564" s="2424"/>
      <c r="U564" s="2424"/>
      <c r="V564" s="2424"/>
      <c r="W564" s="2424"/>
      <c r="X564" s="2424"/>
      <c r="Y564" s="2424"/>
      <c r="Z564" s="2424"/>
      <c r="AA564" s="2424"/>
      <c r="AB564" s="2424"/>
      <c r="AC564" s="2424"/>
      <c r="AD564" s="2424"/>
      <c r="AE564" s="2424"/>
      <c r="AF564" s="2424"/>
      <c r="AG564" s="2424"/>
      <c r="AH564" s="2424"/>
      <c r="AI564" s="2424"/>
      <c r="AJ564" s="2424"/>
      <c r="AK564" s="642"/>
      <c r="AL564" s="573"/>
      <c r="AM564" s="603"/>
      <c r="AN564" s="597"/>
    </row>
    <row r="565" spans="1:42" s="550" customFormat="1" ht="12.75" customHeight="1">
      <c r="A565" s="603"/>
      <c r="B565" s="2424"/>
      <c r="C565" s="2424"/>
      <c r="D565" s="2424"/>
      <c r="E565" s="2424"/>
      <c r="F565" s="2424"/>
      <c r="G565" s="2424"/>
      <c r="H565" s="2424"/>
      <c r="I565" s="2424"/>
      <c r="J565" s="2424"/>
      <c r="K565" s="2424"/>
      <c r="L565" s="2424"/>
      <c r="M565" s="2424"/>
      <c r="N565" s="2424"/>
      <c r="O565" s="2424"/>
      <c r="P565" s="2424"/>
      <c r="Q565" s="2424"/>
      <c r="R565" s="2424"/>
      <c r="S565" s="2424"/>
      <c r="T565" s="2424"/>
      <c r="U565" s="2424"/>
      <c r="V565" s="2424"/>
      <c r="W565" s="2424"/>
      <c r="X565" s="2424"/>
      <c r="Y565" s="2424"/>
      <c r="Z565" s="2424"/>
      <c r="AA565" s="2424"/>
      <c r="AB565" s="2424"/>
      <c r="AC565" s="2424"/>
      <c r="AD565" s="2424"/>
      <c r="AE565" s="2424"/>
      <c r="AF565" s="2424"/>
      <c r="AG565" s="2424"/>
      <c r="AH565" s="2424"/>
      <c r="AI565" s="2424"/>
      <c r="AJ565" s="2424"/>
      <c r="AK565" s="642"/>
      <c r="AL565" s="573"/>
      <c r="AM565" s="603"/>
      <c r="AN565" s="597"/>
    </row>
    <row r="566" spans="1:42" s="550" customFormat="1" ht="12.75" customHeight="1">
      <c r="A566" s="603"/>
      <c r="B566" s="2424"/>
      <c r="C566" s="2424"/>
      <c r="D566" s="2424"/>
      <c r="E566" s="2424"/>
      <c r="F566" s="2424"/>
      <c r="G566" s="2424"/>
      <c r="H566" s="2424"/>
      <c r="I566" s="2424"/>
      <c r="J566" s="2424"/>
      <c r="K566" s="2424"/>
      <c r="L566" s="2424"/>
      <c r="M566" s="2424"/>
      <c r="N566" s="2424"/>
      <c r="O566" s="2424"/>
      <c r="P566" s="2424"/>
      <c r="Q566" s="2424"/>
      <c r="R566" s="2424"/>
      <c r="S566" s="2424"/>
      <c r="T566" s="2424"/>
      <c r="U566" s="2424"/>
      <c r="V566" s="2424"/>
      <c r="W566" s="2424"/>
      <c r="X566" s="2424"/>
      <c r="Y566" s="2424"/>
      <c r="Z566" s="2424"/>
      <c r="AA566" s="2424"/>
      <c r="AB566" s="2424"/>
      <c r="AC566" s="2424"/>
      <c r="AD566" s="2424"/>
      <c r="AE566" s="2424"/>
      <c r="AF566" s="2424"/>
      <c r="AG566" s="2424"/>
      <c r="AH566" s="2424"/>
      <c r="AI566" s="2424"/>
      <c r="AJ566" s="2424"/>
      <c r="AK566" s="642"/>
      <c r="AL566" s="573"/>
      <c r="AM566" s="603"/>
      <c r="AN566" s="597"/>
    </row>
    <row r="567" spans="1:42" s="550" customFormat="1" ht="12.75" customHeight="1">
      <c r="A567" s="603"/>
      <c r="B567" s="2424"/>
      <c r="C567" s="2424"/>
      <c r="D567" s="2424"/>
      <c r="E567" s="2424"/>
      <c r="F567" s="2424"/>
      <c r="G567" s="2424"/>
      <c r="H567" s="2424"/>
      <c r="I567" s="2424"/>
      <c r="J567" s="2424"/>
      <c r="K567" s="2424"/>
      <c r="L567" s="2424"/>
      <c r="M567" s="2424"/>
      <c r="N567" s="2424"/>
      <c r="O567" s="2424"/>
      <c r="P567" s="2424"/>
      <c r="Q567" s="2424"/>
      <c r="R567" s="2424"/>
      <c r="S567" s="2424"/>
      <c r="T567" s="2424"/>
      <c r="U567" s="2424"/>
      <c r="V567" s="2424"/>
      <c r="W567" s="2424"/>
      <c r="X567" s="2424"/>
      <c r="Y567" s="2424"/>
      <c r="Z567" s="2424"/>
      <c r="AA567" s="2424"/>
      <c r="AB567" s="2424"/>
      <c r="AC567" s="2424"/>
      <c r="AD567" s="2424"/>
      <c r="AE567" s="2424"/>
      <c r="AF567" s="2424"/>
      <c r="AG567" s="2424"/>
      <c r="AH567" s="2424"/>
      <c r="AI567" s="2424"/>
      <c r="AJ567" s="2424"/>
      <c r="AK567" s="642"/>
      <c r="AL567" s="573"/>
      <c r="AM567" s="603"/>
      <c r="AN567" s="597"/>
    </row>
    <row r="568" spans="1:42" s="550" customFormat="1" ht="12.75" customHeight="1">
      <c r="A568" s="603"/>
      <c r="B568" s="2424"/>
      <c r="C568" s="2424"/>
      <c r="D568" s="2424"/>
      <c r="E568" s="2424"/>
      <c r="F568" s="2424"/>
      <c r="G568" s="2424"/>
      <c r="H568" s="2424"/>
      <c r="I568" s="2424"/>
      <c r="J568" s="2424"/>
      <c r="K568" s="2424"/>
      <c r="L568" s="2424"/>
      <c r="M568" s="2424"/>
      <c r="N568" s="2424"/>
      <c r="O568" s="2424"/>
      <c r="P568" s="2424"/>
      <c r="Q568" s="2424"/>
      <c r="R568" s="2424"/>
      <c r="S568" s="2424"/>
      <c r="T568" s="2424"/>
      <c r="U568" s="2424"/>
      <c r="V568" s="2424"/>
      <c r="W568" s="2424"/>
      <c r="X568" s="2424"/>
      <c r="Y568" s="2424"/>
      <c r="Z568" s="2424"/>
      <c r="AA568" s="2424"/>
      <c r="AB568" s="2424"/>
      <c r="AC568" s="2424"/>
      <c r="AD568" s="2424"/>
      <c r="AE568" s="2424"/>
      <c r="AF568" s="2424"/>
      <c r="AG568" s="2424"/>
      <c r="AH568" s="2424"/>
      <c r="AI568" s="2424"/>
      <c r="AJ568" s="2424"/>
      <c r="AK568" s="642"/>
      <c r="AL568" s="573"/>
      <c r="AM568" s="603"/>
      <c r="AN568" s="597"/>
    </row>
    <row r="569" spans="1:42" s="550" customFormat="1" ht="12.75" customHeight="1">
      <c r="A569" s="603"/>
      <c r="B569" s="2424"/>
      <c r="C569" s="2424"/>
      <c r="D569" s="2424"/>
      <c r="E569" s="2424"/>
      <c r="F569" s="2424"/>
      <c r="G569" s="2424"/>
      <c r="H569" s="2424"/>
      <c r="I569" s="2424"/>
      <c r="J569" s="2424"/>
      <c r="K569" s="2424"/>
      <c r="L569" s="2424"/>
      <c r="M569" s="2424"/>
      <c r="N569" s="2424"/>
      <c r="O569" s="2424"/>
      <c r="P569" s="2424"/>
      <c r="Q569" s="2424"/>
      <c r="R569" s="2424"/>
      <c r="S569" s="2424"/>
      <c r="T569" s="2424"/>
      <c r="U569" s="2424"/>
      <c r="V569" s="2424"/>
      <c r="W569" s="2424"/>
      <c r="X569" s="2424"/>
      <c r="Y569" s="2424"/>
      <c r="Z569" s="2424"/>
      <c r="AA569" s="2424"/>
      <c r="AB569" s="2424"/>
      <c r="AC569" s="2424"/>
      <c r="AD569" s="2424"/>
      <c r="AE569" s="2424"/>
      <c r="AF569" s="2424"/>
      <c r="AG569" s="2424"/>
      <c r="AH569" s="2424"/>
      <c r="AI569" s="2424"/>
      <c r="AJ569" s="2424"/>
      <c r="AK569" s="642"/>
      <c r="AL569" s="573"/>
      <c r="AM569" s="603"/>
      <c r="AN569" s="597"/>
    </row>
    <row r="570" spans="1:42" s="550" customFormat="1" ht="12.75" customHeight="1">
      <c r="A570" s="603"/>
      <c r="B570" s="2424"/>
      <c r="C570" s="2424"/>
      <c r="D570" s="2424"/>
      <c r="E570" s="2424"/>
      <c r="F570" s="2424"/>
      <c r="G570" s="2424"/>
      <c r="H570" s="2424"/>
      <c r="I570" s="2424"/>
      <c r="J570" s="2424"/>
      <c r="K570" s="2424"/>
      <c r="L570" s="2424"/>
      <c r="M570" s="2424"/>
      <c r="N570" s="2424"/>
      <c r="O570" s="2424"/>
      <c r="P570" s="2424"/>
      <c r="Q570" s="2424"/>
      <c r="R570" s="2424"/>
      <c r="S570" s="2424"/>
      <c r="T570" s="2424"/>
      <c r="U570" s="2424"/>
      <c r="V570" s="2424"/>
      <c r="W570" s="2424"/>
      <c r="X570" s="2424"/>
      <c r="Y570" s="2424"/>
      <c r="Z570" s="2424"/>
      <c r="AA570" s="2424"/>
      <c r="AB570" s="2424"/>
      <c r="AC570" s="2424"/>
      <c r="AD570" s="2424"/>
      <c r="AE570" s="2424"/>
      <c r="AF570" s="2424"/>
      <c r="AG570" s="2424"/>
      <c r="AH570" s="2424"/>
      <c r="AI570" s="2424"/>
      <c r="AJ570" s="2424"/>
      <c r="AK570" s="642"/>
      <c r="AL570" s="573"/>
      <c r="AM570" s="603"/>
      <c r="AN570" s="597"/>
    </row>
    <row r="571" spans="1:42" ht="12.75" customHeight="1">
      <c r="A571" s="603"/>
      <c r="B571" s="2424"/>
      <c r="C571" s="2424"/>
      <c r="D571" s="2424"/>
      <c r="E571" s="2424"/>
      <c r="F571" s="2424"/>
      <c r="G571" s="2424"/>
      <c r="H571" s="2424"/>
      <c r="I571" s="2424"/>
      <c r="J571" s="2424"/>
      <c r="K571" s="2424"/>
      <c r="L571" s="2424"/>
      <c r="M571" s="2424"/>
      <c r="N571" s="2424"/>
      <c r="O571" s="2424"/>
      <c r="P571" s="2424"/>
      <c r="Q571" s="2424"/>
      <c r="R571" s="2424"/>
      <c r="S571" s="2424"/>
      <c r="T571" s="2424"/>
      <c r="U571" s="2424"/>
      <c r="V571" s="2424"/>
      <c r="W571" s="2424"/>
      <c r="X571" s="2424"/>
      <c r="Y571" s="2424"/>
      <c r="Z571" s="2424"/>
      <c r="AA571" s="2424"/>
      <c r="AB571" s="2424"/>
      <c r="AC571" s="2424"/>
      <c r="AD571" s="2424"/>
      <c r="AE571" s="2424"/>
      <c r="AF571" s="2424"/>
      <c r="AG571" s="2424"/>
      <c r="AH571" s="2424"/>
      <c r="AI571" s="2424"/>
      <c r="AJ571" s="2424"/>
      <c r="AK571" s="642"/>
      <c r="AL571" s="573"/>
      <c r="AM571" s="603"/>
    </row>
    <row r="572" spans="1:42" s="550" customFormat="1" ht="12.75" customHeight="1">
      <c r="B572" s="2424"/>
      <c r="C572" s="2424"/>
      <c r="D572" s="2424"/>
      <c r="E572" s="2424"/>
      <c r="F572" s="2424"/>
      <c r="G572" s="2424"/>
      <c r="H572" s="2424"/>
      <c r="I572" s="2424"/>
      <c r="J572" s="2424"/>
      <c r="K572" s="2424"/>
      <c r="L572" s="2424"/>
      <c r="M572" s="2424"/>
      <c r="N572" s="2424"/>
      <c r="O572" s="2424"/>
      <c r="P572" s="2424"/>
      <c r="Q572" s="2424"/>
      <c r="R572" s="2424"/>
      <c r="S572" s="2424"/>
      <c r="T572" s="2424"/>
      <c r="U572" s="2424"/>
      <c r="V572" s="2424"/>
      <c r="W572" s="2424"/>
      <c r="X572" s="2424"/>
      <c r="Y572" s="2424"/>
      <c r="Z572" s="2424"/>
      <c r="AA572" s="2424"/>
      <c r="AB572" s="2424"/>
      <c r="AC572" s="2424"/>
      <c r="AD572" s="2424"/>
      <c r="AE572" s="2424"/>
      <c r="AF572" s="2424"/>
      <c r="AG572" s="2424"/>
      <c r="AH572" s="2424"/>
      <c r="AI572" s="2424"/>
      <c r="AJ572" s="242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4" t="s">
        <v>1339</v>
      </c>
      <c r="AG578" s="2524"/>
      <c r="AH578" s="2524"/>
      <c r="AI578" s="2524"/>
      <c r="AJ578" s="2524"/>
      <c r="AK578" s="2524"/>
      <c r="AL578" s="2524"/>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4" t="s">
        <v>1397</v>
      </c>
      <c r="AG585" s="2524"/>
      <c r="AH585" s="2524"/>
      <c r="AI585" s="2524"/>
      <c r="AJ585" s="2524"/>
      <c r="AK585" s="2524"/>
      <c r="AL585" s="2524"/>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4" t="s">
        <v>1379</v>
      </c>
      <c r="AG591" s="2524"/>
      <c r="AH591" s="2524"/>
      <c r="AI591" s="2524"/>
      <c r="AJ591" s="2524"/>
      <c r="AK591" s="2524"/>
      <c r="AL591" s="2524"/>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4" t="s">
        <v>1400</v>
      </c>
      <c r="AG597" s="2524"/>
      <c r="AH597" s="2524"/>
      <c r="AI597" s="2524"/>
      <c r="AJ597" s="2524"/>
      <c r="AK597" s="2524"/>
      <c r="AL597" s="2524"/>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40" t="s">
        <v>1185</v>
      </c>
      <c r="P601" s="2540"/>
      <c r="Q601" s="2540"/>
      <c r="R601" s="2540"/>
      <c r="S601" s="2540"/>
      <c r="T601" s="2540"/>
      <c r="U601" s="2540"/>
      <c r="V601" s="2540"/>
      <c r="W601" s="2540"/>
      <c r="X601" s="2540"/>
      <c r="Y601" s="2540"/>
      <c r="Z601" s="2540"/>
      <c r="AA601" s="2540"/>
      <c r="AB601" s="254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4" t="s">
        <v>1353</v>
      </c>
      <c r="AG603" s="2524"/>
      <c r="AH603" s="2524"/>
      <c r="AI603" s="2524"/>
      <c r="AJ603" s="2524"/>
      <c r="AK603" s="2524"/>
      <c r="AL603" s="2524"/>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8" t="s">
        <v>688</v>
      </c>
      <c r="I606" s="2448"/>
      <c r="J606" s="936"/>
      <c r="K606" s="936"/>
      <c r="L606" s="936"/>
      <c r="N606" s="22"/>
      <c r="O606" s="22"/>
      <c r="P606" s="22"/>
      <c r="Q606" s="1151" t="s">
        <v>2178</v>
      </c>
      <c r="R606" s="2541"/>
      <c r="S606" s="2541"/>
      <c r="T606" s="2541"/>
      <c r="U606" s="2541"/>
      <c r="V606" s="2541"/>
      <c r="W606" s="2541"/>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2" t="str">
        <f>IF(AND(H606="(i)",NOT(AP582)),AO599,IF(AND(H606="(iv)",OR(R606=AO595,R606=AO594),NOT(AP583)),AO600,""))</f>
        <v/>
      </c>
      <c r="Z607" s="2542"/>
      <c r="AA607" s="2542"/>
      <c r="AB607" s="2542"/>
      <c r="AC607" s="2542"/>
      <c r="AD607" s="2542"/>
      <c r="AE607" s="2542"/>
      <c r="AF607" s="2542"/>
      <c r="AG607" s="2542"/>
      <c r="AH607" s="2542"/>
      <c r="AI607" s="2542"/>
      <c r="AJ607" s="2542"/>
      <c r="AK607" s="2542"/>
      <c r="AL607" s="2542"/>
      <c r="AM607" s="2543"/>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2"/>
      <c r="Z608" s="2542"/>
      <c r="AA608" s="2542"/>
      <c r="AB608" s="2542"/>
      <c r="AC608" s="2542"/>
      <c r="AD608" s="2542"/>
      <c r="AE608" s="2542"/>
      <c r="AF608" s="2542"/>
      <c r="AG608" s="2542"/>
      <c r="AH608" s="2542"/>
      <c r="AI608" s="2542"/>
      <c r="AJ608" s="2542"/>
      <c r="AK608" s="2542"/>
      <c r="AL608" s="2542"/>
      <c r="AM608" s="2543"/>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9" t="s">
        <v>592</v>
      </c>
      <c r="J614" s="2539"/>
      <c r="K614" s="2539"/>
      <c r="L614" s="2539"/>
      <c r="M614" s="2539"/>
      <c r="N614" s="2539"/>
      <c r="O614" s="2539"/>
      <c r="P614" s="2539"/>
      <c r="Q614" s="2539"/>
      <c r="R614" s="2539"/>
      <c r="S614" s="2539"/>
      <c r="T614" s="2539"/>
      <c r="U614" s="2539"/>
      <c r="V614" s="2539"/>
      <c r="W614" s="2539"/>
      <c r="X614" s="2539"/>
      <c r="Y614" s="2539"/>
      <c r="Z614" s="2539"/>
      <c r="AA614" s="2539"/>
      <c r="AB614" s="2539"/>
      <c r="AC614" s="2539"/>
      <c r="AD614" s="2539"/>
      <c r="AE614" s="2539"/>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6" t="s">
        <v>592</v>
      </c>
      <c r="C616" s="2396"/>
      <c r="D616" s="642"/>
      <c r="E616" s="2424" t="s">
        <v>1404</v>
      </c>
      <c r="F616" s="2424"/>
      <c r="G616" s="2424"/>
      <c r="H616" s="2424"/>
      <c r="I616" s="2424"/>
      <c r="J616" s="2424"/>
      <c r="K616" s="2424"/>
      <c r="L616" s="2424"/>
      <c r="M616" s="2424"/>
      <c r="N616" s="2424"/>
      <c r="O616" s="2424"/>
      <c r="P616" s="2424"/>
      <c r="Q616" s="2424"/>
      <c r="R616" s="2424"/>
      <c r="S616" s="2424"/>
      <c r="T616" s="2424"/>
      <c r="U616" s="2424"/>
      <c r="V616" s="2424"/>
      <c r="W616" s="2424"/>
      <c r="X616" s="2424"/>
      <c r="Y616" s="2424"/>
      <c r="Z616" s="2424"/>
      <c r="AA616" s="2424"/>
      <c r="AB616" s="2424"/>
      <c r="AC616" s="2424"/>
      <c r="AD616" s="2424"/>
      <c r="AE616" s="2424"/>
      <c r="AF616" s="2424"/>
      <c r="AG616" s="2424"/>
      <c r="AH616" s="642"/>
      <c r="AI616" s="642"/>
      <c r="AJ616" s="642"/>
      <c r="AK616" s="642"/>
      <c r="AL616" s="642"/>
      <c r="AN616" s="597"/>
    </row>
    <row r="617" spans="1:42" s="550" customFormat="1" ht="12.75" customHeight="1">
      <c r="B617" s="536"/>
      <c r="C617" s="933"/>
      <c r="D617" s="642"/>
      <c r="E617" s="2424"/>
      <c r="F617" s="2424"/>
      <c r="G617" s="2424"/>
      <c r="H617" s="2424"/>
      <c r="I617" s="2424"/>
      <c r="J617" s="2424"/>
      <c r="K617" s="2424"/>
      <c r="L617" s="2424"/>
      <c r="M617" s="2424"/>
      <c r="N617" s="2424"/>
      <c r="O617" s="2424"/>
      <c r="P617" s="2424"/>
      <c r="Q617" s="2424"/>
      <c r="R617" s="2424"/>
      <c r="S617" s="2424"/>
      <c r="T617" s="2424"/>
      <c r="U617" s="2424"/>
      <c r="V617" s="2424"/>
      <c r="W617" s="2424"/>
      <c r="X617" s="2424"/>
      <c r="Y617" s="2424"/>
      <c r="Z617" s="2424"/>
      <c r="AA617" s="2424"/>
      <c r="AB617" s="2424"/>
      <c r="AC617" s="2424"/>
      <c r="AD617" s="2424"/>
      <c r="AE617" s="2424"/>
      <c r="AF617" s="2424"/>
      <c r="AG617" s="2424"/>
      <c r="AH617" s="642"/>
      <c r="AI617" s="642"/>
      <c r="AJ617" s="642"/>
      <c r="AK617" s="642"/>
      <c r="AL617" s="642"/>
      <c r="AN617" s="597"/>
    </row>
    <row r="618" spans="1:42" s="550" customFormat="1" ht="12.75" customHeight="1">
      <c r="B618" s="536"/>
      <c r="C618" s="933"/>
      <c r="D618" s="642"/>
      <c r="E618" s="2424"/>
      <c r="F618" s="2424"/>
      <c r="G618" s="2424"/>
      <c r="H618" s="2424"/>
      <c r="I618" s="2424"/>
      <c r="J618" s="2424"/>
      <c r="K618" s="2424"/>
      <c r="L618" s="2424"/>
      <c r="M618" s="2424"/>
      <c r="N618" s="2424"/>
      <c r="O618" s="2424"/>
      <c r="P618" s="2424"/>
      <c r="Q618" s="2424"/>
      <c r="R618" s="2424"/>
      <c r="S618" s="2424"/>
      <c r="T618" s="2424"/>
      <c r="U618" s="2424"/>
      <c r="V618" s="2424"/>
      <c r="W618" s="2424"/>
      <c r="X618" s="2424"/>
      <c r="Y618" s="2424"/>
      <c r="Z618" s="2424"/>
      <c r="AA618" s="2424"/>
      <c r="AB618" s="2424"/>
      <c r="AC618" s="2424"/>
      <c r="AD618" s="2424"/>
      <c r="AE618" s="2424"/>
      <c r="AF618" s="2424"/>
      <c r="AG618" s="2424"/>
      <c r="AH618" s="642"/>
      <c r="AI618" s="642"/>
      <c r="AJ618" s="642"/>
      <c r="AK618" s="642"/>
      <c r="AL618" s="642"/>
      <c r="AN618" s="597"/>
    </row>
    <row r="619" spans="1:42" s="550" customFormat="1" ht="12.75" customHeight="1">
      <c r="B619" s="536"/>
      <c r="C619" s="933"/>
      <c r="D619" s="642"/>
      <c r="E619" s="2424"/>
      <c r="F619" s="2424"/>
      <c r="G619" s="2424"/>
      <c r="H619" s="2424"/>
      <c r="I619" s="2424"/>
      <c r="J619" s="2424"/>
      <c r="K619" s="2424"/>
      <c r="L619" s="2424"/>
      <c r="M619" s="2424"/>
      <c r="N619" s="2424"/>
      <c r="O619" s="2424"/>
      <c r="P619" s="2424"/>
      <c r="Q619" s="2424"/>
      <c r="R619" s="2424"/>
      <c r="S619" s="2424"/>
      <c r="T619" s="2424"/>
      <c r="U619" s="2424"/>
      <c r="V619" s="2424"/>
      <c r="W619" s="2424"/>
      <c r="X619" s="2424"/>
      <c r="Y619" s="2424"/>
      <c r="Z619" s="2424"/>
      <c r="AA619" s="2424"/>
      <c r="AB619" s="2424"/>
      <c r="AC619" s="2424"/>
      <c r="AD619" s="2424"/>
      <c r="AE619" s="2424"/>
      <c r="AF619" s="2424"/>
      <c r="AG619" s="242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31">
        <f>VLOOKUP($H$606,$AO$586:$AP$591,2,FALSE)+IF(R606=AO594,0,VLOOKUP($I$614,$AO$613:$AP$615,2,FALSE))</f>
        <v>7</v>
      </c>
      <c r="AK621" s="243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8" t="s">
        <v>1695</v>
      </c>
      <c r="F625" s="2538"/>
      <c r="G625" s="2538"/>
      <c r="H625" s="2538"/>
      <c r="I625" s="2538"/>
      <c r="J625" s="2538"/>
      <c r="K625" s="2538"/>
      <c r="L625" s="2538"/>
      <c r="M625" s="2538"/>
      <c r="N625" s="2538"/>
      <c r="O625" s="2538"/>
      <c r="P625" s="2538"/>
      <c r="Q625" s="2538"/>
      <c r="R625" s="2538"/>
      <c r="S625" s="2538"/>
      <c r="T625" s="2538"/>
      <c r="U625" s="2538"/>
      <c r="V625" s="2538"/>
      <c r="W625" s="2538"/>
      <c r="X625" s="2538"/>
      <c r="Y625" s="2538"/>
      <c r="Z625" s="2538"/>
      <c r="AA625" s="2538"/>
      <c r="AB625" s="2538"/>
      <c r="AC625" s="2538"/>
      <c r="AD625" s="2538"/>
      <c r="AE625" s="539"/>
      <c r="AF625" s="2524" t="s">
        <v>1353</v>
      </c>
      <c r="AG625" s="2524"/>
      <c r="AH625" s="2524"/>
      <c r="AI625" s="2524"/>
      <c r="AJ625" s="2524"/>
      <c r="AK625" s="2524"/>
      <c r="AL625" s="2524"/>
      <c r="AM625" s="550"/>
      <c r="AN625" s="678"/>
    </row>
    <row r="626" spans="1:42" s="550" customFormat="1" ht="12.75" customHeight="1">
      <c r="A626" s="679"/>
      <c r="B626" s="536"/>
      <c r="C626" s="933"/>
      <c r="D626" s="663"/>
      <c r="E626" s="2538"/>
      <c r="F626" s="2538"/>
      <c r="G626" s="2538"/>
      <c r="H626" s="2538"/>
      <c r="I626" s="2538"/>
      <c r="J626" s="2538"/>
      <c r="K626" s="2538"/>
      <c r="L626" s="2538"/>
      <c r="M626" s="2538"/>
      <c r="N626" s="2538"/>
      <c r="O626" s="2538"/>
      <c r="P626" s="2538"/>
      <c r="Q626" s="2538"/>
      <c r="R626" s="2538"/>
      <c r="S626" s="2538"/>
      <c r="T626" s="2538"/>
      <c r="U626" s="2538"/>
      <c r="V626" s="2538"/>
      <c r="W626" s="2538"/>
      <c r="X626" s="2538"/>
      <c r="Y626" s="2538"/>
      <c r="Z626" s="2538"/>
      <c r="AA626" s="2538"/>
      <c r="AB626" s="2538"/>
      <c r="AC626" s="2538"/>
      <c r="AD626" s="2538"/>
      <c r="AE626" s="536"/>
      <c r="AF626" s="536"/>
      <c r="AG626" s="536"/>
      <c r="AH626" s="536"/>
      <c r="AI626" s="536"/>
      <c r="AJ626" s="536"/>
      <c r="AK626" s="536"/>
      <c r="AL626" s="536"/>
      <c r="AN626" s="597"/>
    </row>
    <row r="627" spans="1:42" s="550" customFormat="1" ht="12.75" customHeight="1">
      <c r="B627" s="536"/>
      <c r="C627" s="931"/>
      <c r="D627" s="663"/>
      <c r="E627" s="2538"/>
      <c r="F627" s="2538"/>
      <c r="G627" s="2538"/>
      <c r="H627" s="2538"/>
      <c r="I627" s="2538"/>
      <c r="J627" s="2538"/>
      <c r="K627" s="2538"/>
      <c r="L627" s="2538"/>
      <c r="M627" s="2538"/>
      <c r="N627" s="2538"/>
      <c r="O627" s="2538"/>
      <c r="P627" s="2538"/>
      <c r="Q627" s="2538"/>
      <c r="R627" s="2538"/>
      <c r="S627" s="2538"/>
      <c r="T627" s="2538"/>
      <c r="U627" s="2538"/>
      <c r="V627" s="2538"/>
      <c r="W627" s="2538"/>
      <c r="X627" s="2538"/>
      <c r="Y627" s="2538"/>
      <c r="Z627" s="2538"/>
      <c r="AA627" s="2538"/>
      <c r="AB627" s="2538"/>
      <c r="AC627" s="2538"/>
      <c r="AD627" s="2538"/>
      <c r="AE627" s="536"/>
      <c r="AF627" s="536"/>
      <c r="AG627" s="536"/>
      <c r="AH627" s="536"/>
      <c r="AI627" s="536"/>
      <c r="AJ627" s="536"/>
      <c r="AK627" s="536"/>
      <c r="AL627" s="536"/>
      <c r="AN627" s="597"/>
    </row>
    <row r="628" spans="1:42" s="550" customFormat="1" ht="12.75" customHeight="1">
      <c r="B628" s="536"/>
      <c r="C628" s="931"/>
      <c r="D628" s="663"/>
      <c r="E628" s="2538"/>
      <c r="F628" s="2538"/>
      <c r="G628" s="2538"/>
      <c r="H628" s="2538"/>
      <c r="I628" s="2538"/>
      <c r="J628" s="2538"/>
      <c r="K628" s="2538"/>
      <c r="L628" s="2538"/>
      <c r="M628" s="2538"/>
      <c r="N628" s="2538"/>
      <c r="O628" s="2538"/>
      <c r="P628" s="2538"/>
      <c r="Q628" s="2538"/>
      <c r="R628" s="2538"/>
      <c r="S628" s="2538"/>
      <c r="T628" s="2538"/>
      <c r="U628" s="2538"/>
      <c r="V628" s="2538"/>
      <c r="W628" s="2538"/>
      <c r="X628" s="2538"/>
      <c r="Y628" s="2538"/>
      <c r="Z628" s="2538"/>
      <c r="AA628" s="2538"/>
      <c r="AB628" s="2538"/>
      <c r="AC628" s="2538"/>
      <c r="AD628" s="2538"/>
      <c r="AE628" s="536"/>
      <c r="AF628" s="536"/>
      <c r="AG628" s="536"/>
      <c r="AH628" s="536"/>
      <c r="AI628" s="536"/>
      <c r="AJ628" s="536"/>
      <c r="AK628" s="536"/>
      <c r="AL628" s="536"/>
      <c r="AN628" s="597"/>
    </row>
    <row r="629" spans="1:42" s="550" customFormat="1" ht="12.75" customHeight="1">
      <c r="B629" s="536"/>
      <c r="C629" s="931"/>
      <c r="D629" s="663"/>
      <c r="E629" s="2538"/>
      <c r="F629" s="2538"/>
      <c r="G629" s="2538"/>
      <c r="H629" s="2538"/>
      <c r="I629" s="2538"/>
      <c r="J629" s="2538"/>
      <c r="K629" s="2538"/>
      <c r="L629" s="2538"/>
      <c r="M629" s="2538"/>
      <c r="N629" s="2538"/>
      <c r="O629" s="2538"/>
      <c r="P629" s="2538"/>
      <c r="Q629" s="2538"/>
      <c r="R629" s="2538"/>
      <c r="S629" s="2538"/>
      <c r="T629" s="2538"/>
      <c r="U629" s="2538"/>
      <c r="V629" s="2538"/>
      <c r="W629" s="2538"/>
      <c r="X629" s="2538"/>
      <c r="Y629" s="2538"/>
      <c r="Z629" s="2538"/>
      <c r="AA629" s="2538"/>
      <c r="AB629" s="2538"/>
      <c r="AC629" s="2538"/>
      <c r="AD629" s="2538"/>
      <c r="AE629" s="536"/>
      <c r="AF629" s="536"/>
      <c r="AG629" s="536"/>
      <c r="AH629" s="536"/>
      <c r="AI629" s="536"/>
      <c r="AJ629" s="536"/>
      <c r="AK629" s="536"/>
      <c r="AL629" s="536"/>
      <c r="AN629" s="597"/>
    </row>
    <row r="630" spans="1:42" s="550" customFormat="1" ht="12.75" customHeight="1">
      <c r="B630" s="536"/>
      <c r="C630" s="931"/>
      <c r="D630" s="663"/>
      <c r="E630" s="2538"/>
      <c r="F630" s="2538"/>
      <c r="G630" s="2538"/>
      <c r="H630" s="2538"/>
      <c r="I630" s="2538"/>
      <c r="J630" s="2538"/>
      <c r="K630" s="2538"/>
      <c r="L630" s="2538"/>
      <c r="M630" s="2538"/>
      <c r="N630" s="2538"/>
      <c r="O630" s="2538"/>
      <c r="P630" s="2538"/>
      <c r="Q630" s="2538"/>
      <c r="R630" s="2538"/>
      <c r="S630" s="2538"/>
      <c r="T630" s="2538"/>
      <c r="U630" s="2538"/>
      <c r="V630" s="2538"/>
      <c r="W630" s="2538"/>
      <c r="X630" s="2538"/>
      <c r="Y630" s="2538"/>
      <c r="Z630" s="2538"/>
      <c r="AA630" s="2538"/>
      <c r="AB630" s="2538"/>
      <c r="AC630" s="2538"/>
      <c r="AD630" s="2538"/>
      <c r="AE630" s="536"/>
      <c r="AF630" s="536"/>
      <c r="AG630" s="536"/>
      <c r="AH630" s="536"/>
      <c r="AI630" s="536"/>
      <c r="AJ630" s="536"/>
      <c r="AK630" s="536"/>
      <c r="AL630" s="536"/>
      <c r="AN630" s="597"/>
    </row>
    <row r="631" spans="1:42" s="550" customFormat="1" ht="12.75" customHeight="1">
      <c r="A631" s="637"/>
      <c r="B631" s="616"/>
      <c r="C631" s="940"/>
      <c r="D631" s="663"/>
      <c r="E631" s="2538"/>
      <c r="F631" s="2538"/>
      <c r="G631" s="2538"/>
      <c r="H631" s="2538"/>
      <c r="I631" s="2538"/>
      <c r="J631" s="2538"/>
      <c r="K631" s="2538"/>
      <c r="L631" s="2538"/>
      <c r="M631" s="2538"/>
      <c r="N631" s="2538"/>
      <c r="O631" s="2538"/>
      <c r="P631" s="2538"/>
      <c r="Q631" s="2538"/>
      <c r="R631" s="2538"/>
      <c r="S631" s="2538"/>
      <c r="T631" s="2538"/>
      <c r="U631" s="2538"/>
      <c r="V631" s="2538"/>
      <c r="W631" s="2538"/>
      <c r="X631" s="2538"/>
      <c r="Y631" s="2538"/>
      <c r="Z631" s="2538"/>
      <c r="AA631" s="2538"/>
      <c r="AB631" s="2538"/>
      <c r="AC631" s="2538"/>
      <c r="AD631" s="2538"/>
      <c r="AE631" s="616"/>
      <c r="AF631" s="616"/>
      <c r="AG631" s="616"/>
      <c r="AH631" s="616"/>
      <c r="AI631" s="616"/>
      <c r="AJ631" s="616"/>
      <c r="AK631" s="536"/>
      <c r="AL631" s="536"/>
      <c r="AN631" s="597"/>
    </row>
    <row r="632" spans="1:42" s="550" customFormat="1" ht="12.75" customHeight="1">
      <c r="B632" s="616"/>
      <c r="C632" s="940"/>
      <c r="D632" s="663"/>
      <c r="E632" s="2538"/>
      <c r="F632" s="2538"/>
      <c r="G632" s="2538"/>
      <c r="H632" s="2538"/>
      <c r="I632" s="2538"/>
      <c r="J632" s="2538"/>
      <c r="K632" s="2538"/>
      <c r="L632" s="2538"/>
      <c r="M632" s="2538"/>
      <c r="N632" s="2538"/>
      <c r="O632" s="2538"/>
      <c r="P632" s="2538"/>
      <c r="Q632" s="2538"/>
      <c r="R632" s="2538"/>
      <c r="S632" s="2538"/>
      <c r="T632" s="2538"/>
      <c r="U632" s="2538"/>
      <c r="V632" s="2538"/>
      <c r="W632" s="2538"/>
      <c r="X632" s="2538"/>
      <c r="Y632" s="2538"/>
      <c r="Z632" s="2538"/>
      <c r="AA632" s="2538"/>
      <c r="AB632" s="2538"/>
      <c r="AC632" s="2538"/>
      <c r="AD632" s="253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6" t="s">
        <v>592</v>
      </c>
      <c r="Y634" s="2396"/>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4" t="s">
        <v>1409</v>
      </c>
      <c r="AG636" s="2524"/>
      <c r="AH636" s="2524"/>
      <c r="AI636" s="2524"/>
      <c r="AJ636" s="2524"/>
      <c r="AK636" s="2524"/>
      <c r="AL636" s="2524"/>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8" t="s">
        <v>688</v>
      </c>
      <c r="I638" s="244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31">
        <f>VLOOKUP($H$638,$AO$605:$AP$607,2,FALSE)</f>
        <v>3</v>
      </c>
      <c r="AK640" s="2433"/>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4" t="s">
        <v>2099</v>
      </c>
      <c r="F644" s="2424"/>
      <c r="G644" s="2424"/>
      <c r="H644" s="2424"/>
      <c r="I644" s="2424"/>
      <c r="J644" s="2424"/>
      <c r="K644" s="2424"/>
      <c r="L644" s="2424"/>
      <c r="M644" s="2424"/>
      <c r="N644" s="2424"/>
      <c r="O644" s="2424"/>
      <c r="P644" s="2424"/>
      <c r="Q644" s="2424"/>
      <c r="R644" s="2424"/>
      <c r="S644" s="2424"/>
      <c r="T644" s="2424"/>
      <c r="U644" s="2424"/>
      <c r="V644" s="2424"/>
      <c r="W644" s="2424"/>
      <c r="X644" s="2424"/>
      <c r="Y644" s="2424"/>
      <c r="Z644" s="2424"/>
      <c r="AA644" s="2424"/>
      <c r="AB644" s="2424"/>
      <c r="AC644" s="2424"/>
      <c r="AD644" s="2424"/>
      <c r="AE644" s="536"/>
      <c r="AF644" s="2524" t="s">
        <v>1353</v>
      </c>
      <c r="AG644" s="2524"/>
      <c r="AH644" s="2524"/>
      <c r="AI644" s="2524"/>
      <c r="AJ644" s="2524"/>
      <c r="AK644" s="2524"/>
      <c r="AL644" s="2524"/>
      <c r="AN644" s="597"/>
    </row>
    <row r="645" spans="1:42" s="550" customFormat="1" ht="12.75" customHeight="1">
      <c r="B645" s="536"/>
      <c r="C645" s="536"/>
      <c r="D645" s="663"/>
      <c r="E645" s="2424"/>
      <c r="F645" s="2424"/>
      <c r="G645" s="2424"/>
      <c r="H645" s="2424"/>
      <c r="I645" s="2424"/>
      <c r="J645" s="2424"/>
      <c r="K645" s="2424"/>
      <c r="L645" s="2424"/>
      <c r="M645" s="2424"/>
      <c r="N645" s="2424"/>
      <c r="O645" s="2424"/>
      <c r="P645" s="2424"/>
      <c r="Q645" s="2424"/>
      <c r="R645" s="2424"/>
      <c r="S645" s="2424"/>
      <c r="T645" s="2424"/>
      <c r="U645" s="2424"/>
      <c r="V645" s="2424"/>
      <c r="W645" s="2424"/>
      <c r="X645" s="2424"/>
      <c r="Y645" s="2424"/>
      <c r="Z645" s="2424"/>
      <c r="AA645" s="2424"/>
      <c r="AB645" s="2424"/>
      <c r="AC645" s="2424"/>
      <c r="AD645" s="242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4" t="s">
        <v>1409</v>
      </c>
      <c r="AG647" s="2524"/>
      <c r="AH647" s="2524"/>
      <c r="AI647" s="2524"/>
      <c r="AJ647" s="2524"/>
      <c r="AK647" s="2524"/>
      <c r="AL647" s="2524"/>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8" t="s">
        <v>688</v>
      </c>
      <c r="I650" s="244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31">
        <f>VLOOKUP(H650,AT605:AU607,2,FALSE)</f>
        <v>3</v>
      </c>
      <c r="AK652" s="243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4" t="s">
        <v>1419</v>
      </c>
      <c r="F657" s="2424"/>
      <c r="G657" s="2424"/>
      <c r="H657" s="2424"/>
      <c r="I657" s="2424"/>
      <c r="J657" s="2424"/>
      <c r="K657" s="2424"/>
      <c r="L657" s="2424"/>
      <c r="M657" s="2424"/>
      <c r="N657" s="2424"/>
      <c r="O657" s="2424"/>
      <c r="P657" s="2424"/>
      <c r="Q657" s="2424"/>
      <c r="R657" s="2424"/>
      <c r="S657" s="2424"/>
      <c r="T657" s="2424"/>
      <c r="U657" s="2424"/>
      <c r="V657" s="2424"/>
      <c r="W657" s="2424"/>
      <c r="X657" s="2424"/>
      <c r="Y657" s="2424"/>
      <c r="Z657" s="2424"/>
      <c r="AA657" s="2424"/>
      <c r="AB657" s="2424"/>
      <c r="AC657" s="2424"/>
      <c r="AD657" s="536"/>
      <c r="AE657" s="536"/>
      <c r="AF657" s="2524" t="s">
        <v>1379</v>
      </c>
      <c r="AG657" s="2524"/>
      <c r="AH657" s="2524"/>
      <c r="AI657" s="2524"/>
      <c r="AJ657" s="2524"/>
      <c r="AK657" s="2524"/>
      <c r="AL657" s="2524"/>
      <c r="AN657" s="597"/>
    </row>
    <row r="658" spans="1:42" s="550" customFormat="1" ht="12.75" customHeight="1">
      <c r="B658" s="536"/>
      <c r="C658" s="539"/>
      <c r="D658" s="536"/>
      <c r="E658" s="2424"/>
      <c r="F658" s="2424"/>
      <c r="G658" s="2424"/>
      <c r="H658" s="2424"/>
      <c r="I658" s="2424"/>
      <c r="J658" s="2424"/>
      <c r="K658" s="2424"/>
      <c r="L658" s="2424"/>
      <c r="M658" s="2424"/>
      <c r="N658" s="2424"/>
      <c r="O658" s="2424"/>
      <c r="P658" s="2424"/>
      <c r="Q658" s="2424"/>
      <c r="R658" s="2424"/>
      <c r="S658" s="2424"/>
      <c r="T658" s="2424"/>
      <c r="U658" s="2424"/>
      <c r="V658" s="2424"/>
      <c r="W658" s="2424"/>
      <c r="X658" s="2424"/>
      <c r="Y658" s="2424"/>
      <c r="Z658" s="2424"/>
      <c r="AA658" s="2424"/>
      <c r="AB658" s="2424"/>
      <c r="AC658" s="2424"/>
      <c r="AD658" s="536"/>
      <c r="AE658" s="536"/>
      <c r="AF658" s="536"/>
      <c r="AG658" s="536"/>
      <c r="AH658" s="536"/>
      <c r="AI658" s="536"/>
      <c r="AJ658" s="536"/>
      <c r="AK658" s="536"/>
      <c r="AL658" s="536"/>
      <c r="AN658" s="597"/>
    </row>
    <row r="659" spans="1:42" s="550" customFormat="1" ht="12.75" customHeight="1">
      <c r="B659" s="536"/>
      <c r="C659" s="539"/>
      <c r="D659" s="663"/>
      <c r="E659" s="2424"/>
      <c r="F659" s="2424"/>
      <c r="G659" s="2424"/>
      <c r="H659" s="2424"/>
      <c r="I659" s="2424"/>
      <c r="J659" s="2424"/>
      <c r="K659" s="2424"/>
      <c r="L659" s="2424"/>
      <c r="M659" s="2424"/>
      <c r="N659" s="2424"/>
      <c r="O659" s="2424"/>
      <c r="P659" s="2424"/>
      <c r="Q659" s="2424"/>
      <c r="R659" s="2424"/>
      <c r="S659" s="2424"/>
      <c r="T659" s="2424"/>
      <c r="U659" s="2424"/>
      <c r="V659" s="2424"/>
      <c r="W659" s="2424"/>
      <c r="X659" s="2424"/>
      <c r="Y659" s="2424"/>
      <c r="Z659" s="2424"/>
      <c r="AA659" s="2424"/>
      <c r="AB659" s="2424"/>
      <c r="AC659" s="242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4" t="s">
        <v>1420</v>
      </c>
      <c r="F661" s="2424"/>
      <c r="G661" s="2424"/>
      <c r="H661" s="2424"/>
      <c r="I661" s="2424"/>
      <c r="J661" s="2424"/>
      <c r="K661" s="2424"/>
      <c r="L661" s="2424"/>
      <c r="M661" s="2424"/>
      <c r="N661" s="2424"/>
      <c r="O661" s="2424"/>
      <c r="P661" s="2424"/>
      <c r="Q661" s="2424"/>
      <c r="R661" s="2424"/>
      <c r="S661" s="2424"/>
      <c r="T661" s="2424"/>
      <c r="U661" s="2424"/>
      <c r="V661" s="2424"/>
      <c r="W661" s="2424"/>
      <c r="X661" s="2424"/>
      <c r="Y661" s="2424"/>
      <c r="Z661" s="2424"/>
      <c r="AA661" s="2424"/>
      <c r="AB661" s="2424"/>
      <c r="AC661" s="2424"/>
      <c r="AD661" s="536"/>
      <c r="AE661" s="536"/>
      <c r="AF661" s="2524" t="s">
        <v>1400</v>
      </c>
      <c r="AG661" s="2524"/>
      <c r="AH661" s="2524"/>
      <c r="AI661" s="2524"/>
      <c r="AJ661" s="2524"/>
      <c r="AK661" s="2524"/>
      <c r="AL661" s="2524"/>
      <c r="AN661" s="597"/>
    </row>
    <row r="662" spans="1:42" s="550" customFormat="1" ht="12.75" customHeight="1">
      <c r="B662" s="536"/>
      <c r="C662" s="539"/>
      <c r="D662" s="536"/>
      <c r="E662" s="2424"/>
      <c r="F662" s="2424"/>
      <c r="G662" s="2424"/>
      <c r="H662" s="2424"/>
      <c r="I662" s="2424"/>
      <c r="J662" s="2424"/>
      <c r="K662" s="2424"/>
      <c r="L662" s="2424"/>
      <c r="M662" s="2424"/>
      <c r="N662" s="2424"/>
      <c r="O662" s="2424"/>
      <c r="P662" s="2424"/>
      <c r="Q662" s="2424"/>
      <c r="R662" s="2424"/>
      <c r="S662" s="2424"/>
      <c r="T662" s="2424"/>
      <c r="U662" s="2424"/>
      <c r="V662" s="2424"/>
      <c r="W662" s="2424"/>
      <c r="X662" s="2424"/>
      <c r="Y662" s="2424"/>
      <c r="Z662" s="2424"/>
      <c r="AA662" s="2424"/>
      <c r="AB662" s="2424"/>
      <c r="AC662" s="2424"/>
      <c r="AD662" s="536"/>
      <c r="AE662" s="536"/>
      <c r="AF662" s="536"/>
      <c r="AG662" s="536"/>
      <c r="AH662" s="536"/>
      <c r="AI662" s="536"/>
      <c r="AJ662" s="536"/>
      <c r="AK662" s="536"/>
      <c r="AL662" s="536"/>
      <c r="AN662" s="597"/>
    </row>
    <row r="663" spans="1:42" s="550" customFormat="1" ht="15" customHeight="1">
      <c r="B663" s="536"/>
      <c r="C663" s="539"/>
      <c r="D663" s="663"/>
      <c r="E663" s="2424"/>
      <c r="F663" s="2424"/>
      <c r="G663" s="2424"/>
      <c r="H663" s="2424"/>
      <c r="I663" s="2424"/>
      <c r="J663" s="2424"/>
      <c r="K663" s="2424"/>
      <c r="L663" s="2424"/>
      <c r="M663" s="2424"/>
      <c r="N663" s="2424"/>
      <c r="O663" s="2424"/>
      <c r="P663" s="2424"/>
      <c r="Q663" s="2424"/>
      <c r="R663" s="2424"/>
      <c r="S663" s="2424"/>
      <c r="T663" s="2424"/>
      <c r="U663" s="2424"/>
      <c r="V663" s="2424"/>
      <c r="W663" s="2424"/>
      <c r="X663" s="2424"/>
      <c r="Y663" s="2424"/>
      <c r="Z663" s="2424"/>
      <c r="AA663" s="2424"/>
      <c r="AB663" s="2424"/>
      <c r="AC663" s="242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4" t="s">
        <v>1421</v>
      </c>
      <c r="F665" s="2424"/>
      <c r="G665" s="2424"/>
      <c r="H665" s="2424"/>
      <c r="I665" s="2424"/>
      <c r="J665" s="2424"/>
      <c r="K665" s="2424"/>
      <c r="L665" s="2424"/>
      <c r="M665" s="2424"/>
      <c r="N665" s="2424"/>
      <c r="O665" s="2424"/>
      <c r="P665" s="2424"/>
      <c r="Q665" s="2424"/>
      <c r="R665" s="2424"/>
      <c r="S665" s="2424"/>
      <c r="T665" s="2424"/>
      <c r="U665" s="2424"/>
      <c r="V665" s="2424"/>
      <c r="W665" s="2424"/>
      <c r="X665" s="2424"/>
      <c r="Y665" s="2424"/>
      <c r="Z665" s="2424"/>
      <c r="AA665" s="2424"/>
      <c r="AB665" s="2424"/>
      <c r="AC665" s="2424"/>
      <c r="AD665" s="536"/>
      <c r="AE665" s="536"/>
      <c r="AF665" s="2524" t="s">
        <v>1353</v>
      </c>
      <c r="AG665" s="2524"/>
      <c r="AH665" s="2524"/>
      <c r="AI665" s="2524"/>
      <c r="AJ665" s="2524"/>
      <c r="AK665" s="2524"/>
      <c r="AL665" s="2524"/>
      <c r="AN665" s="597"/>
    </row>
    <row r="666" spans="1:42" s="550" customFormat="1" ht="12.75" customHeight="1">
      <c r="B666" s="536"/>
      <c r="C666" s="931"/>
      <c r="D666" s="536"/>
      <c r="E666" s="2424"/>
      <c r="F666" s="2424"/>
      <c r="G666" s="2424"/>
      <c r="H666" s="2424"/>
      <c r="I666" s="2424"/>
      <c r="J666" s="2424"/>
      <c r="K666" s="2424"/>
      <c r="L666" s="2424"/>
      <c r="M666" s="2424"/>
      <c r="N666" s="2424"/>
      <c r="O666" s="2424"/>
      <c r="P666" s="2424"/>
      <c r="Q666" s="2424"/>
      <c r="R666" s="2424"/>
      <c r="S666" s="2424"/>
      <c r="T666" s="2424"/>
      <c r="U666" s="2424"/>
      <c r="V666" s="2424"/>
      <c r="W666" s="2424"/>
      <c r="X666" s="2424"/>
      <c r="Y666" s="2424"/>
      <c r="Z666" s="2424"/>
      <c r="AA666" s="2424"/>
      <c r="AB666" s="2424"/>
      <c r="AC666" s="2424"/>
      <c r="AD666" s="536"/>
      <c r="AE666" s="2524"/>
      <c r="AF666" s="2524"/>
      <c r="AG666" s="2524"/>
      <c r="AH666" s="2524"/>
      <c r="AI666" s="2524"/>
      <c r="AJ666" s="2524"/>
      <c r="AK666" s="2524"/>
      <c r="AL666" s="594"/>
      <c r="AN666" s="597"/>
      <c r="AO666" s="550" t="s">
        <v>592</v>
      </c>
      <c r="AP666" s="673">
        <v>0</v>
      </c>
    </row>
    <row r="667" spans="1:42" s="550" customFormat="1" ht="12.75" customHeight="1">
      <c r="A667" s="679"/>
      <c r="B667" s="536"/>
      <c r="C667" s="536"/>
      <c r="D667" s="663"/>
      <c r="E667" s="2424"/>
      <c r="F667" s="2424"/>
      <c r="G667" s="2424"/>
      <c r="H667" s="2424"/>
      <c r="I667" s="2424"/>
      <c r="J667" s="2424"/>
      <c r="K667" s="2424"/>
      <c r="L667" s="2424"/>
      <c r="M667" s="2424"/>
      <c r="N667" s="2424"/>
      <c r="O667" s="2424"/>
      <c r="P667" s="2424"/>
      <c r="Q667" s="2424"/>
      <c r="R667" s="2424"/>
      <c r="S667" s="2424"/>
      <c r="T667" s="2424"/>
      <c r="U667" s="2424"/>
      <c r="V667" s="2424"/>
      <c r="W667" s="2424"/>
      <c r="X667" s="2424"/>
      <c r="Y667" s="2424"/>
      <c r="Z667" s="2424"/>
      <c r="AA667" s="2424"/>
      <c r="AB667" s="2424"/>
      <c r="AC667" s="2424"/>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24" t="s">
        <v>1422</v>
      </c>
      <c r="F669" s="2424"/>
      <c r="G669" s="2424"/>
      <c r="H669" s="2424"/>
      <c r="I669" s="2424"/>
      <c r="J669" s="2424"/>
      <c r="K669" s="2424"/>
      <c r="L669" s="2424"/>
      <c r="M669" s="2424"/>
      <c r="N669" s="2424"/>
      <c r="O669" s="2424"/>
      <c r="P669" s="2424"/>
      <c r="Q669" s="2424"/>
      <c r="R669" s="2424"/>
      <c r="S669" s="2424"/>
      <c r="T669" s="2424"/>
      <c r="U669" s="2424"/>
      <c r="V669" s="2424"/>
      <c r="W669" s="2424"/>
      <c r="X669" s="2424"/>
      <c r="Y669" s="2424"/>
      <c r="Z669" s="2424"/>
      <c r="AA669" s="2424"/>
      <c r="AB669" s="2424"/>
      <c r="AC669" s="2424"/>
      <c r="AD669" s="536"/>
      <c r="AE669" s="536"/>
      <c r="AF669" s="2524" t="s">
        <v>1400</v>
      </c>
      <c r="AG669" s="2524"/>
      <c r="AH669" s="2524"/>
      <c r="AI669" s="2524"/>
      <c r="AJ669" s="2524"/>
      <c r="AK669" s="2524"/>
      <c r="AL669" s="2524"/>
      <c r="AN669" s="597"/>
    </row>
    <row r="670" spans="1:42" s="550" customFormat="1" ht="12.75" customHeight="1">
      <c r="A670" s="670"/>
      <c r="B670" s="536"/>
      <c r="C670" s="947"/>
      <c r="D670" s="663"/>
      <c r="E670" s="2424"/>
      <c r="F670" s="2424"/>
      <c r="G670" s="2424"/>
      <c r="H670" s="2424"/>
      <c r="I670" s="2424"/>
      <c r="J670" s="2424"/>
      <c r="K670" s="2424"/>
      <c r="L670" s="2424"/>
      <c r="M670" s="2424"/>
      <c r="N670" s="2424"/>
      <c r="O670" s="2424"/>
      <c r="P670" s="2424"/>
      <c r="Q670" s="2424"/>
      <c r="R670" s="2424"/>
      <c r="S670" s="2424"/>
      <c r="T670" s="2424"/>
      <c r="U670" s="2424"/>
      <c r="V670" s="2424"/>
      <c r="W670" s="2424"/>
      <c r="X670" s="2424"/>
      <c r="Y670" s="2424"/>
      <c r="Z670" s="2424"/>
      <c r="AA670" s="2424"/>
      <c r="AB670" s="2424"/>
      <c r="AC670" s="242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4"/>
      <c r="F671" s="2424"/>
      <c r="G671" s="2424"/>
      <c r="H671" s="2424"/>
      <c r="I671" s="2424"/>
      <c r="J671" s="2424"/>
      <c r="K671" s="2424"/>
      <c r="L671" s="2424"/>
      <c r="M671" s="2424"/>
      <c r="N671" s="2424"/>
      <c r="O671" s="2424"/>
      <c r="P671" s="2424"/>
      <c r="Q671" s="2424"/>
      <c r="R671" s="2424"/>
      <c r="S671" s="2424"/>
      <c r="T671" s="2424"/>
      <c r="U671" s="2424"/>
      <c r="V671" s="2424"/>
      <c r="W671" s="2424"/>
      <c r="X671" s="2424"/>
      <c r="Y671" s="2424"/>
      <c r="Z671" s="2424"/>
      <c r="AA671" s="2424"/>
      <c r="AB671" s="2424"/>
      <c r="AC671" s="242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24" t="s">
        <v>1423</v>
      </c>
      <c r="F673" s="2424"/>
      <c r="G673" s="2424"/>
      <c r="H673" s="2424"/>
      <c r="I673" s="2424"/>
      <c r="J673" s="2424"/>
      <c r="K673" s="2424"/>
      <c r="L673" s="2424"/>
      <c r="M673" s="2424"/>
      <c r="N673" s="2424"/>
      <c r="O673" s="2424"/>
      <c r="P673" s="2424"/>
      <c r="Q673" s="2424"/>
      <c r="R673" s="2424"/>
      <c r="S673" s="2424"/>
      <c r="T673" s="2424"/>
      <c r="U673" s="2424"/>
      <c r="V673" s="2424"/>
      <c r="W673" s="2424"/>
      <c r="X673" s="2424"/>
      <c r="Y673" s="2424"/>
      <c r="Z673" s="2424"/>
      <c r="AA673" s="2424"/>
      <c r="AB673" s="2424"/>
      <c r="AC673" s="2424"/>
      <c r="AD673" s="536"/>
      <c r="AE673" s="536"/>
      <c r="AF673" s="2524" t="s">
        <v>1353</v>
      </c>
      <c r="AG673" s="2524"/>
      <c r="AH673" s="2524"/>
      <c r="AI673" s="2524"/>
      <c r="AJ673" s="2524"/>
      <c r="AK673" s="2524"/>
      <c r="AL673" s="2524"/>
      <c r="AM673" s="596"/>
      <c r="AN673" s="597"/>
    </row>
    <row r="674" spans="1:42" s="550" customFormat="1" ht="12.75" customHeight="1">
      <c r="B674" s="536"/>
      <c r="C674" s="931"/>
      <c r="D674" s="663"/>
      <c r="E674" s="2424"/>
      <c r="F674" s="2424"/>
      <c r="G674" s="2424"/>
      <c r="H674" s="2424"/>
      <c r="I674" s="2424"/>
      <c r="J674" s="2424"/>
      <c r="K674" s="2424"/>
      <c r="L674" s="2424"/>
      <c r="M674" s="2424"/>
      <c r="N674" s="2424"/>
      <c r="O674" s="2424"/>
      <c r="P674" s="2424"/>
      <c r="Q674" s="2424"/>
      <c r="R674" s="2424"/>
      <c r="S674" s="2424"/>
      <c r="T674" s="2424"/>
      <c r="U674" s="2424"/>
      <c r="V674" s="2424"/>
      <c r="W674" s="2424"/>
      <c r="X674" s="2424"/>
      <c r="Y674" s="2424"/>
      <c r="Z674" s="2424"/>
      <c r="AA674" s="2424"/>
      <c r="AB674" s="2424"/>
      <c r="AC674" s="2424"/>
      <c r="AD674" s="536"/>
      <c r="AE674" s="536"/>
      <c r="AF674" s="536"/>
      <c r="AG674" s="536"/>
      <c r="AH674" s="536"/>
      <c r="AI674" s="536"/>
      <c r="AJ674" s="536"/>
      <c r="AK674" s="536"/>
      <c r="AL674" s="536"/>
      <c r="AM674" s="596"/>
      <c r="AN674" s="597"/>
    </row>
    <row r="675" spans="1:42" s="550" customFormat="1" ht="12.75" customHeight="1">
      <c r="B675" s="536"/>
      <c r="C675" s="931"/>
      <c r="D675" s="663"/>
      <c r="E675" s="2424"/>
      <c r="F675" s="2424"/>
      <c r="G675" s="2424"/>
      <c r="H675" s="2424"/>
      <c r="I675" s="2424"/>
      <c r="J675" s="2424"/>
      <c r="K675" s="2424"/>
      <c r="L675" s="2424"/>
      <c r="M675" s="2424"/>
      <c r="N675" s="2424"/>
      <c r="O675" s="2424"/>
      <c r="P675" s="2424"/>
      <c r="Q675" s="2424"/>
      <c r="R675" s="2424"/>
      <c r="S675" s="2424"/>
      <c r="T675" s="2424"/>
      <c r="U675" s="2424"/>
      <c r="V675" s="2424"/>
      <c r="W675" s="2424"/>
      <c r="X675" s="2424"/>
      <c r="Y675" s="2424"/>
      <c r="Z675" s="2424"/>
      <c r="AA675" s="2424"/>
      <c r="AB675" s="2424"/>
      <c r="AC675" s="242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24" t="s">
        <v>1424</v>
      </c>
      <c r="F677" s="2424"/>
      <c r="G677" s="2424"/>
      <c r="H677" s="2424"/>
      <c r="I677" s="2424"/>
      <c r="J677" s="2424"/>
      <c r="K677" s="2424"/>
      <c r="L677" s="2424"/>
      <c r="M677" s="2424"/>
      <c r="N677" s="2424"/>
      <c r="O677" s="2424"/>
      <c r="P677" s="2424"/>
      <c r="Q677" s="2424"/>
      <c r="R677" s="2424"/>
      <c r="S677" s="2424"/>
      <c r="T677" s="2424"/>
      <c r="U677" s="2424"/>
      <c r="V677" s="2424"/>
      <c r="W677" s="2424"/>
      <c r="X677" s="2424"/>
      <c r="Y677" s="2424"/>
      <c r="Z677" s="2424"/>
      <c r="AA677" s="2424"/>
      <c r="AB677" s="2424"/>
      <c r="AC677" s="2424"/>
      <c r="AD677" s="536"/>
      <c r="AE677" s="536"/>
      <c r="AF677" s="2524" t="s">
        <v>1409</v>
      </c>
      <c r="AG677" s="2524"/>
      <c r="AH677" s="2524"/>
      <c r="AI677" s="2524"/>
      <c r="AJ677" s="2524"/>
      <c r="AK677" s="2524"/>
      <c r="AL677" s="2524"/>
      <c r="AM677" s="596"/>
      <c r="AN677" s="597"/>
    </row>
    <row r="678" spans="1:42" s="550" customFormat="1" ht="12.75" customHeight="1">
      <c r="A678" s="679"/>
      <c r="B678" s="536"/>
      <c r="C678" s="931"/>
      <c r="D678" s="663"/>
      <c r="E678" s="2424"/>
      <c r="F678" s="2424"/>
      <c r="G678" s="2424"/>
      <c r="H678" s="2424"/>
      <c r="I678" s="2424"/>
      <c r="J678" s="2424"/>
      <c r="K678" s="2424"/>
      <c r="L678" s="2424"/>
      <c r="M678" s="2424"/>
      <c r="N678" s="2424"/>
      <c r="O678" s="2424"/>
      <c r="P678" s="2424"/>
      <c r="Q678" s="2424"/>
      <c r="R678" s="2424"/>
      <c r="S678" s="2424"/>
      <c r="T678" s="2424"/>
      <c r="U678" s="2424"/>
      <c r="V678" s="2424"/>
      <c r="W678" s="2424"/>
      <c r="X678" s="2424"/>
      <c r="Y678" s="2424"/>
      <c r="Z678" s="2424"/>
      <c r="AA678" s="2424"/>
      <c r="AB678" s="2424"/>
      <c r="AC678" s="242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4"/>
      <c r="F679" s="2424"/>
      <c r="G679" s="2424"/>
      <c r="H679" s="2424"/>
      <c r="I679" s="2424"/>
      <c r="J679" s="2424"/>
      <c r="K679" s="2424"/>
      <c r="L679" s="2424"/>
      <c r="M679" s="2424"/>
      <c r="N679" s="2424"/>
      <c r="O679" s="2424"/>
      <c r="P679" s="2424"/>
      <c r="Q679" s="2424"/>
      <c r="R679" s="2424"/>
      <c r="S679" s="2424"/>
      <c r="T679" s="2424"/>
      <c r="U679" s="2424"/>
      <c r="V679" s="2424"/>
      <c r="W679" s="2424"/>
      <c r="X679" s="2424"/>
      <c r="Y679" s="2424"/>
      <c r="Z679" s="2424"/>
      <c r="AA679" s="2424"/>
      <c r="AB679" s="2424"/>
      <c r="AC679" s="242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24" t="s">
        <v>1425</v>
      </c>
      <c r="F681" s="2424"/>
      <c r="G681" s="2424"/>
      <c r="H681" s="2424"/>
      <c r="I681" s="2424"/>
      <c r="J681" s="2424"/>
      <c r="K681" s="2424"/>
      <c r="L681" s="2424"/>
      <c r="M681" s="2424"/>
      <c r="N681" s="2424"/>
      <c r="O681" s="2424"/>
      <c r="P681" s="2424"/>
      <c r="Q681" s="2424"/>
      <c r="R681" s="2424"/>
      <c r="S681" s="2424"/>
      <c r="T681" s="2424"/>
      <c r="U681" s="2424"/>
      <c r="V681" s="2424"/>
      <c r="W681" s="2424"/>
      <c r="X681" s="2424"/>
      <c r="Y681" s="2424"/>
      <c r="Z681" s="2424"/>
      <c r="AA681" s="2424"/>
      <c r="AB681" s="2424"/>
      <c r="AC681" s="2424"/>
      <c r="AD681" s="536"/>
      <c r="AE681" s="536"/>
      <c r="AF681" s="2524" t="s">
        <v>1426</v>
      </c>
      <c r="AG681" s="2524"/>
      <c r="AH681" s="2524"/>
      <c r="AI681" s="2524"/>
      <c r="AJ681" s="2524"/>
      <c r="AK681" s="2524"/>
      <c r="AL681" s="2524"/>
      <c r="AM681" s="596"/>
      <c r="AN681" s="597"/>
      <c r="AO681" s="611" t="s">
        <v>688</v>
      </c>
      <c r="AP681" s="550">
        <v>3</v>
      </c>
    </row>
    <row r="682" spans="1:42" s="550" customFormat="1" ht="12.75" customHeight="1">
      <c r="A682" s="679"/>
      <c r="B682" s="536"/>
      <c r="C682" s="931"/>
      <c r="D682" s="663"/>
      <c r="E682" s="2424"/>
      <c r="F682" s="2424"/>
      <c r="G682" s="2424"/>
      <c r="H682" s="2424"/>
      <c r="I682" s="2424"/>
      <c r="J682" s="2424"/>
      <c r="K682" s="2424"/>
      <c r="L682" s="2424"/>
      <c r="M682" s="2424"/>
      <c r="N682" s="2424"/>
      <c r="O682" s="2424"/>
      <c r="P682" s="2424"/>
      <c r="Q682" s="2424"/>
      <c r="R682" s="2424"/>
      <c r="S682" s="2424"/>
      <c r="T682" s="2424"/>
      <c r="U682" s="2424"/>
      <c r="V682" s="2424"/>
      <c r="W682" s="2424"/>
      <c r="X682" s="2424"/>
      <c r="Y682" s="2424"/>
      <c r="Z682" s="2424"/>
      <c r="AA682" s="2424"/>
      <c r="AB682" s="2424"/>
      <c r="AC682" s="2424"/>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4"/>
      <c r="F683" s="2424"/>
      <c r="G683" s="2424"/>
      <c r="H683" s="2424"/>
      <c r="I683" s="2424"/>
      <c r="J683" s="2424"/>
      <c r="K683" s="2424"/>
      <c r="L683" s="2424"/>
      <c r="M683" s="2424"/>
      <c r="N683" s="2424"/>
      <c r="O683" s="2424"/>
      <c r="P683" s="2424"/>
      <c r="Q683" s="2424"/>
      <c r="R683" s="2424"/>
      <c r="S683" s="2424"/>
      <c r="T683" s="2424"/>
      <c r="U683" s="2424"/>
      <c r="V683" s="2424"/>
      <c r="W683" s="2424"/>
      <c r="X683" s="2424"/>
      <c r="Y683" s="2424"/>
      <c r="Z683" s="2424"/>
      <c r="AA683" s="2424"/>
      <c r="AB683" s="2424"/>
      <c r="AC683" s="242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8" t="s">
        <v>1398</v>
      </c>
      <c r="I685" s="244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31">
        <f>VLOOKUP($H$685,$AO$633:$AP$640,2,FALSE)</f>
        <v>4</v>
      </c>
      <c r="AK687" s="243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89</v>
      </c>
    </row>
    <row r="691" spans="1:51" s="550" customFormat="1" ht="12.75" customHeight="1">
      <c r="A691" s="679"/>
      <c r="B691" s="536"/>
      <c r="C691" s="948"/>
      <c r="D691" s="663" t="s">
        <v>688</v>
      </c>
      <c r="E691" s="2394" t="s">
        <v>2191</v>
      </c>
      <c r="F691" s="2394"/>
      <c r="G691" s="2394"/>
      <c r="H691" s="2394"/>
      <c r="I691" s="2394"/>
      <c r="J691" s="2394"/>
      <c r="K691" s="2394"/>
      <c r="L691" s="2394"/>
      <c r="M691" s="2394"/>
      <c r="N691" s="2394"/>
      <c r="O691" s="2394"/>
      <c r="P691" s="2394"/>
      <c r="Q691" s="2394"/>
      <c r="R691" s="2394"/>
      <c r="S691" s="2394"/>
      <c r="T691" s="2394"/>
      <c r="U691" s="2394"/>
      <c r="V691" s="2394"/>
      <c r="W691" s="2394"/>
      <c r="X691" s="2394"/>
      <c r="Y691" s="2394"/>
      <c r="Z691" s="2394"/>
      <c r="AA691" s="2394"/>
      <c r="AB691" s="2394"/>
      <c r="AC691" s="536"/>
      <c r="AD691" s="536"/>
      <c r="AE691" s="536"/>
      <c r="AF691" s="2524" t="s">
        <v>1353</v>
      </c>
      <c r="AG691" s="2524"/>
      <c r="AH691" s="2524"/>
      <c r="AI691" s="2524"/>
      <c r="AJ691" s="2524"/>
      <c r="AK691" s="2524"/>
      <c r="AL691" s="2524"/>
      <c r="AN691" s="597"/>
      <c r="AW691" s="22" t="s">
        <v>2186</v>
      </c>
      <c r="AX691" s="550">
        <f>Application!DE753</f>
        <v>23</v>
      </c>
    </row>
    <row r="692" spans="1:51" s="550" customFormat="1" ht="12.75" customHeight="1">
      <c r="A692" s="679"/>
      <c r="B692" s="536"/>
      <c r="C692" s="948"/>
      <c r="D692" s="663"/>
      <c r="E692" s="2394"/>
      <c r="F692" s="2394"/>
      <c r="G692" s="2394"/>
      <c r="H692" s="2394"/>
      <c r="I692" s="2394"/>
      <c r="J692" s="2394"/>
      <c r="K692" s="2394"/>
      <c r="L692" s="2394"/>
      <c r="M692" s="2394"/>
      <c r="N692" s="2394"/>
      <c r="O692" s="2394"/>
      <c r="P692" s="2394"/>
      <c r="Q692" s="2394"/>
      <c r="R692" s="2394"/>
      <c r="S692" s="2394"/>
      <c r="T692" s="2394"/>
      <c r="U692" s="2394"/>
      <c r="V692" s="2394"/>
      <c r="W692" s="2394"/>
      <c r="X692" s="2394"/>
      <c r="Y692" s="2394"/>
      <c r="Z692" s="2394"/>
      <c r="AA692" s="2394"/>
      <c r="AB692" s="2394"/>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24" t="s">
        <v>2135</v>
      </c>
      <c r="F694" s="2424"/>
      <c r="G694" s="2424"/>
      <c r="H694" s="2424"/>
      <c r="I694" s="2424"/>
      <c r="J694" s="2424"/>
      <c r="K694" s="2424"/>
      <c r="L694" s="2424"/>
      <c r="M694" s="2424"/>
      <c r="N694" s="2424"/>
      <c r="O694" s="2424"/>
      <c r="P694" s="2424"/>
      <c r="Q694" s="2424"/>
      <c r="R694" s="2424"/>
      <c r="S694" s="2424"/>
      <c r="T694" s="2424"/>
      <c r="U694" s="2424"/>
      <c r="V694" s="2424"/>
      <c r="W694" s="2424"/>
      <c r="X694" s="2424"/>
      <c r="Y694" s="2424"/>
      <c r="Z694" s="2424"/>
      <c r="AA694" s="2424"/>
      <c r="AB694" s="2424"/>
      <c r="AC694" s="536"/>
      <c r="AD694" s="536"/>
      <c r="AE694" s="536"/>
      <c r="AF694" s="2524" t="s">
        <v>1353</v>
      </c>
      <c r="AG694" s="2524"/>
      <c r="AH694" s="2524"/>
      <c r="AI694" s="2524"/>
      <c r="AJ694" s="2524"/>
      <c r="AK694" s="2524"/>
      <c r="AL694" s="2524"/>
      <c r="AN694" s="597"/>
      <c r="AW694" s="22" t="s">
        <v>2189</v>
      </c>
      <c r="AX694" s="550">
        <f>AX691+AX692+AX693</f>
        <v>23</v>
      </c>
    </row>
    <row r="695" spans="1:51" s="550" customFormat="1" ht="12.75" customHeight="1">
      <c r="B695" s="536"/>
      <c r="C695" s="940"/>
      <c r="D695" s="663"/>
      <c r="E695" s="2424"/>
      <c r="F695" s="2424"/>
      <c r="G695" s="2424"/>
      <c r="H695" s="2424"/>
      <c r="I695" s="2424"/>
      <c r="J695" s="2424"/>
      <c r="K695" s="2424"/>
      <c r="L695" s="2424"/>
      <c r="M695" s="2424"/>
      <c r="N695" s="2424"/>
      <c r="O695" s="2424"/>
      <c r="P695" s="2424"/>
      <c r="Q695" s="2424"/>
      <c r="R695" s="2424"/>
      <c r="S695" s="2424"/>
      <c r="T695" s="2424"/>
      <c r="U695" s="2424"/>
      <c r="V695" s="2424"/>
      <c r="W695" s="2424"/>
      <c r="X695" s="2424"/>
      <c r="Y695" s="2424"/>
      <c r="Z695" s="2424"/>
      <c r="AA695" s="2424"/>
      <c r="AB695" s="2424"/>
      <c r="AC695" s="536"/>
      <c r="AD695" s="536"/>
      <c r="AE695" s="616"/>
      <c r="AF695" s="536"/>
      <c r="AG695" s="536"/>
      <c r="AH695" s="536"/>
      <c r="AI695" s="536"/>
      <c r="AJ695" s="536"/>
      <c r="AK695" s="536"/>
      <c r="AL695" s="536"/>
      <c r="AN695" s="597"/>
      <c r="AO695" s="2438" t="b">
        <f>IF(Application!D211="Special Needs",IF(AY695&gt;=0.25,TRUE,FALSE),IF(AX695&gt;=0.25,TRUE,FALSE))</f>
        <v>1</v>
      </c>
      <c r="AP695" s="2438"/>
      <c r="AW695" s="22" t="s">
        <v>2190</v>
      </c>
      <c r="AX695" s="550">
        <f>IFERROR(AX694/AX690,0)</f>
        <v>0.25842696629213485</v>
      </c>
      <c r="AY695" s="550">
        <f>IFERROR(AX694/(AX690-AX689),0)</f>
        <v>0.25842696629213485</v>
      </c>
    </row>
    <row r="696" spans="1:51" s="550" customFormat="1" ht="12.75" customHeight="1">
      <c r="B696" s="536"/>
      <c r="C696" s="940"/>
      <c r="E696" s="2424"/>
      <c r="F696" s="2424"/>
      <c r="G696" s="2424"/>
      <c r="H696" s="2424"/>
      <c r="I696" s="2424"/>
      <c r="J696" s="2424"/>
      <c r="K696" s="2424"/>
      <c r="L696" s="2424"/>
      <c r="M696" s="2424"/>
      <c r="N696" s="2424"/>
      <c r="O696" s="2424"/>
      <c r="P696" s="2424"/>
      <c r="Q696" s="2424"/>
      <c r="R696" s="2424"/>
      <c r="S696" s="2424"/>
      <c r="T696" s="2424"/>
      <c r="U696" s="2424"/>
      <c r="V696" s="2424"/>
      <c r="W696" s="2424"/>
      <c r="X696" s="2424"/>
      <c r="Y696" s="2424"/>
      <c r="Z696" s="2424"/>
      <c r="AA696" s="2424"/>
      <c r="AB696" s="242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4"/>
      <c r="F697" s="2424"/>
      <c r="G697" s="2424"/>
      <c r="H697" s="2424"/>
      <c r="I697" s="2424"/>
      <c r="J697" s="2424"/>
      <c r="K697" s="2424"/>
      <c r="L697" s="2424"/>
      <c r="M697" s="2424"/>
      <c r="N697" s="2424"/>
      <c r="O697" s="2424"/>
      <c r="P697" s="2424"/>
      <c r="Q697" s="2424"/>
      <c r="R697" s="2424"/>
      <c r="S697" s="2424"/>
      <c r="T697" s="2424"/>
      <c r="U697" s="2424"/>
      <c r="V697" s="2424"/>
      <c r="W697" s="2424"/>
      <c r="X697" s="2424"/>
      <c r="Y697" s="2424"/>
      <c r="Z697" s="2424"/>
      <c r="AA697" s="2424"/>
      <c r="AB697" s="2424"/>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4" t="s">
        <v>2136</v>
      </c>
      <c r="F699" s="2424"/>
      <c r="G699" s="2424"/>
      <c r="H699" s="2424"/>
      <c r="I699" s="2424"/>
      <c r="J699" s="2424"/>
      <c r="K699" s="2424"/>
      <c r="L699" s="2424"/>
      <c r="M699" s="2424"/>
      <c r="N699" s="2424"/>
      <c r="O699" s="2424"/>
      <c r="P699" s="2424"/>
      <c r="Q699" s="2424"/>
      <c r="R699" s="2424"/>
      <c r="S699" s="2424"/>
      <c r="T699" s="2424"/>
      <c r="U699" s="2424"/>
      <c r="V699" s="2424"/>
      <c r="W699" s="2424"/>
      <c r="X699" s="2424"/>
      <c r="Y699" s="2424"/>
      <c r="Z699" s="2424"/>
      <c r="AA699" s="2424"/>
      <c r="AB699" s="2424"/>
      <c r="AC699" s="536"/>
      <c r="AD699" s="536"/>
      <c r="AE699" s="536"/>
      <c r="AF699" s="2524" t="s">
        <v>1409</v>
      </c>
      <c r="AG699" s="2524"/>
      <c r="AH699" s="2524"/>
      <c r="AI699" s="2524"/>
      <c r="AJ699" s="2524"/>
      <c r="AK699" s="2524"/>
      <c r="AL699" s="2524"/>
      <c r="AN699" s="597"/>
      <c r="AO699" s="611" t="s">
        <v>510</v>
      </c>
      <c r="AP699" s="550">
        <v>1</v>
      </c>
    </row>
    <row r="700" spans="1:51" s="550" customFormat="1" ht="12" customHeight="1">
      <c r="B700" s="536"/>
      <c r="C700" s="931"/>
      <c r="E700" s="2424"/>
      <c r="F700" s="2424"/>
      <c r="G700" s="2424"/>
      <c r="H700" s="2424"/>
      <c r="I700" s="2424"/>
      <c r="J700" s="2424"/>
      <c r="K700" s="2424"/>
      <c r="L700" s="2424"/>
      <c r="M700" s="2424"/>
      <c r="N700" s="2424"/>
      <c r="O700" s="2424"/>
      <c r="P700" s="2424"/>
      <c r="Q700" s="2424"/>
      <c r="R700" s="2424"/>
      <c r="S700" s="2424"/>
      <c r="T700" s="2424"/>
      <c r="U700" s="2424"/>
      <c r="V700" s="2424"/>
      <c r="W700" s="2424"/>
      <c r="X700" s="2424"/>
      <c r="Y700" s="2424"/>
      <c r="Z700" s="2424"/>
      <c r="AA700" s="2424"/>
      <c r="AB700" s="2424"/>
      <c r="AC700" s="536"/>
      <c r="AD700" s="536"/>
      <c r="AE700" s="616"/>
      <c r="AF700" s="536"/>
      <c r="AG700" s="536"/>
      <c r="AH700" s="536"/>
      <c r="AI700" s="536"/>
      <c r="AJ700" s="536"/>
      <c r="AK700" s="536"/>
      <c r="AL700" s="536"/>
      <c r="AN700" s="597"/>
    </row>
    <row r="701" spans="1:51" s="550" customFormat="1" ht="12" customHeight="1">
      <c r="B701" s="536"/>
      <c r="C701" s="931"/>
      <c r="D701" s="536"/>
      <c r="E701" s="2424"/>
      <c r="F701" s="2424"/>
      <c r="G701" s="2424"/>
      <c r="H701" s="2424"/>
      <c r="I701" s="2424"/>
      <c r="J701" s="2424"/>
      <c r="K701" s="2424"/>
      <c r="L701" s="2424"/>
      <c r="M701" s="2424"/>
      <c r="N701" s="2424"/>
      <c r="O701" s="2424"/>
      <c r="P701" s="2424"/>
      <c r="Q701" s="2424"/>
      <c r="R701" s="2424"/>
      <c r="S701" s="2424"/>
      <c r="T701" s="2424"/>
      <c r="U701" s="2424"/>
      <c r="V701" s="2424"/>
      <c r="W701" s="2424"/>
      <c r="X701" s="2424"/>
      <c r="Y701" s="2424"/>
      <c r="Z701" s="2424"/>
      <c r="AA701" s="2424"/>
      <c r="AB701" s="2424"/>
      <c r="AC701" s="536"/>
      <c r="AD701" s="536"/>
      <c r="AE701" s="616"/>
      <c r="AF701" s="536"/>
      <c r="AG701" s="536"/>
      <c r="AH701" s="536"/>
      <c r="AI701" s="536"/>
      <c r="AJ701" s="536"/>
      <c r="AK701" s="536"/>
      <c r="AL701" s="536"/>
      <c r="AN701" s="597"/>
    </row>
    <row r="702" spans="1:51" s="550" customFormat="1" ht="12" customHeight="1">
      <c r="B702" s="536"/>
      <c r="C702" s="931"/>
      <c r="D702" s="536"/>
      <c r="E702" s="2424"/>
      <c r="F702" s="2424"/>
      <c r="G702" s="2424"/>
      <c r="H702" s="2424"/>
      <c r="I702" s="2424"/>
      <c r="J702" s="2424"/>
      <c r="K702" s="2424"/>
      <c r="L702" s="2424"/>
      <c r="M702" s="2424"/>
      <c r="N702" s="2424"/>
      <c r="O702" s="2424"/>
      <c r="P702" s="2424"/>
      <c r="Q702" s="2424"/>
      <c r="R702" s="2424"/>
      <c r="S702" s="2424"/>
      <c r="T702" s="2424"/>
      <c r="U702" s="2424"/>
      <c r="V702" s="2424"/>
      <c r="W702" s="2424"/>
      <c r="X702" s="2424"/>
      <c r="Y702" s="2424"/>
      <c r="Z702" s="2424"/>
      <c r="AA702" s="2424"/>
      <c r="AB702" s="2424"/>
      <c r="AC702" s="536"/>
      <c r="AD702" s="536"/>
      <c r="AE702" s="616"/>
      <c r="AF702" s="536"/>
      <c r="AG702" s="536"/>
      <c r="AH702" s="536"/>
      <c r="AI702" s="536"/>
      <c r="AJ702" s="536"/>
      <c r="AK702" s="536"/>
      <c r="AL702" s="536"/>
      <c r="AN702" s="597"/>
    </row>
    <row r="703" spans="1:51" s="570" customFormat="1" ht="13" customHeight="1">
      <c r="A703" s="550"/>
      <c r="B703" s="536"/>
      <c r="C703" s="931"/>
      <c r="D703" s="536"/>
      <c r="E703" s="2424"/>
      <c r="F703" s="2424"/>
      <c r="G703" s="2424"/>
      <c r="H703" s="2424"/>
      <c r="I703" s="2424"/>
      <c r="J703" s="2424"/>
      <c r="K703" s="2424"/>
      <c r="L703" s="2424"/>
      <c r="M703" s="2424"/>
      <c r="N703" s="2424"/>
      <c r="O703" s="2424"/>
      <c r="P703" s="2424"/>
      <c r="Q703" s="2424"/>
      <c r="R703" s="2424"/>
      <c r="S703" s="2424"/>
      <c r="T703" s="2424"/>
      <c r="U703" s="2424"/>
      <c r="V703" s="2424"/>
      <c r="W703" s="2424"/>
      <c r="X703" s="2424"/>
      <c r="Y703" s="2424"/>
      <c r="Z703" s="2424"/>
      <c r="AA703" s="2424"/>
      <c r="AB703" s="2424"/>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4" t="s">
        <v>1694</v>
      </c>
      <c r="F705" s="2424"/>
      <c r="G705" s="2424"/>
      <c r="H705" s="2424"/>
      <c r="I705" s="2424"/>
      <c r="J705" s="2424"/>
      <c r="K705" s="2424"/>
      <c r="L705" s="2424"/>
      <c r="M705" s="2424"/>
      <c r="N705" s="2424"/>
      <c r="O705" s="2424"/>
      <c r="P705" s="2424"/>
      <c r="Q705" s="2424"/>
      <c r="R705" s="2424"/>
      <c r="S705" s="2424"/>
      <c r="T705" s="2424"/>
      <c r="U705" s="2424"/>
      <c r="V705" s="2424"/>
      <c r="W705" s="2424"/>
      <c r="X705" s="2424"/>
      <c r="Y705" s="2424"/>
      <c r="Z705" s="2424"/>
      <c r="AA705" s="2424"/>
      <c r="AB705" s="2424"/>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24"/>
      <c r="F706" s="2424"/>
      <c r="G706" s="2424"/>
      <c r="H706" s="2424"/>
      <c r="I706" s="2424"/>
      <c r="J706" s="2424"/>
      <c r="K706" s="2424"/>
      <c r="L706" s="2424"/>
      <c r="M706" s="2424"/>
      <c r="N706" s="2424"/>
      <c r="O706" s="2424"/>
      <c r="P706" s="2424"/>
      <c r="Q706" s="2424"/>
      <c r="R706" s="2424"/>
      <c r="S706" s="2424"/>
      <c r="T706" s="2424"/>
      <c r="U706" s="2424"/>
      <c r="V706" s="2424"/>
      <c r="W706" s="2424"/>
      <c r="X706" s="2424"/>
      <c r="Y706" s="2424"/>
      <c r="Z706" s="2424"/>
      <c r="AA706" s="2424"/>
      <c r="AB706" s="2424"/>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4"/>
      <c r="F707" s="2424"/>
      <c r="G707" s="2424"/>
      <c r="H707" s="2424"/>
      <c r="I707" s="2424"/>
      <c r="J707" s="2424"/>
      <c r="K707" s="2424"/>
      <c r="L707" s="2424"/>
      <c r="M707" s="2424"/>
      <c r="N707" s="2424"/>
      <c r="O707" s="2424"/>
      <c r="P707" s="2424"/>
      <c r="Q707" s="2424"/>
      <c r="R707" s="2424"/>
      <c r="S707" s="2424"/>
      <c r="T707" s="2424"/>
      <c r="U707" s="2424"/>
      <c r="V707" s="2424"/>
      <c r="W707" s="2424"/>
      <c r="X707" s="2424"/>
      <c r="Y707" s="2424"/>
      <c r="Z707" s="2424"/>
      <c r="AA707" s="2424"/>
      <c r="AB707" s="242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8" t="s">
        <v>510</v>
      </c>
      <c r="I709" s="244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31">
        <f>VLOOKUP($H$709,$AO$703:$AP$706,2,FALSE)</f>
        <v>3</v>
      </c>
      <c r="AK711" s="2433"/>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6" t="s">
        <v>1696</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524" t="s">
        <v>1353</v>
      </c>
      <c r="AG715" s="2524"/>
      <c r="AH715" s="2524"/>
      <c r="AI715" s="2524"/>
      <c r="AJ715" s="2524"/>
      <c r="AK715" s="2524"/>
      <c r="AL715" s="2524"/>
      <c r="AM715" s="550"/>
      <c r="AN715" s="684"/>
      <c r="AP715" s="570" t="s">
        <v>1433</v>
      </c>
    </row>
    <row r="716" spans="1:43" s="570" customFormat="1" ht="11.9"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7" t="s">
        <v>1436</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524" t="s">
        <v>1409</v>
      </c>
      <c r="AG719" s="2524"/>
      <c r="AH719" s="2524"/>
      <c r="AI719" s="2524"/>
      <c r="AJ719" s="2524"/>
      <c r="AK719" s="2524"/>
      <c r="AL719" s="252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8" t="s">
        <v>592</v>
      </c>
      <c r="I723" s="244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31">
        <f>VLOOKUP($H$723,$AP$720:$AQ$722,2,FALSE)</f>
        <v>0</v>
      </c>
      <c r="AK725" s="2433"/>
      <c r="AL725" s="595"/>
      <c r="AM725" s="550"/>
      <c r="AN725" s="684"/>
      <c r="AP725" s="2431"/>
      <c r="AQ725" s="243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688</v>
      </c>
      <c r="E729" s="2424" t="s">
        <v>1697</v>
      </c>
      <c r="F729" s="2424"/>
      <c r="G729" s="2424"/>
      <c r="H729" s="2424"/>
      <c r="I729" s="2424"/>
      <c r="J729" s="2424"/>
      <c r="K729" s="2424"/>
      <c r="L729" s="2424"/>
      <c r="M729" s="2424"/>
      <c r="N729" s="2424"/>
      <c r="O729" s="2424"/>
      <c r="P729" s="2424"/>
      <c r="Q729" s="2424"/>
      <c r="R729" s="2424"/>
      <c r="S729" s="2424"/>
      <c r="T729" s="2424"/>
      <c r="U729" s="2424"/>
      <c r="V729" s="2424"/>
      <c r="W729" s="2424"/>
      <c r="X729" s="2424"/>
      <c r="Y729" s="2424"/>
      <c r="Z729" s="2424"/>
      <c r="AA729" s="2424"/>
      <c r="AB729" s="2424"/>
      <c r="AC729" s="536"/>
      <c r="AD729" s="536"/>
      <c r="AE729" s="536"/>
      <c r="AF729" s="2524" t="s">
        <v>1353</v>
      </c>
      <c r="AG729" s="2524"/>
      <c r="AH729" s="2524"/>
      <c r="AI729" s="2524"/>
      <c r="AJ729" s="2524"/>
      <c r="AK729" s="2524"/>
      <c r="AL729" s="2524"/>
      <c r="AM729" s="550"/>
      <c r="AN729" s="684"/>
      <c r="AT729" s="14"/>
      <c r="AU729" s="14"/>
      <c r="AV729" s="14"/>
      <c r="AW729" s="14"/>
      <c r="AX729" s="14"/>
      <c r="AY729" s="14"/>
      <c r="AZ729" s="14"/>
    </row>
    <row r="730" spans="1:81" s="570" customFormat="1" ht="13">
      <c r="A730" s="550"/>
      <c r="B730" s="536"/>
      <c r="C730" s="933"/>
      <c r="D730" s="663"/>
      <c r="E730" s="2424"/>
      <c r="F730" s="2424"/>
      <c r="G730" s="2424"/>
      <c r="H730" s="2424"/>
      <c r="I730" s="2424"/>
      <c r="J730" s="2424"/>
      <c r="K730" s="2424"/>
      <c r="L730" s="2424"/>
      <c r="M730" s="2424"/>
      <c r="N730" s="2424"/>
      <c r="O730" s="2424"/>
      <c r="P730" s="2424"/>
      <c r="Q730" s="2424"/>
      <c r="R730" s="2424"/>
      <c r="S730" s="2424"/>
      <c r="T730" s="2424"/>
      <c r="U730" s="2424"/>
      <c r="V730" s="2424"/>
      <c r="W730" s="2424"/>
      <c r="X730" s="2424"/>
      <c r="Y730" s="2424"/>
      <c r="Z730" s="2424"/>
      <c r="AA730" s="2424"/>
      <c r="AB730" s="242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4" t="s">
        <v>1440</v>
      </c>
      <c r="F732" s="2424"/>
      <c r="G732" s="2424"/>
      <c r="H732" s="2424"/>
      <c r="I732" s="2424"/>
      <c r="J732" s="2424"/>
      <c r="K732" s="2424"/>
      <c r="L732" s="2424"/>
      <c r="M732" s="2424"/>
      <c r="N732" s="2424"/>
      <c r="O732" s="2424"/>
      <c r="P732" s="2424"/>
      <c r="Q732" s="2424"/>
      <c r="R732" s="2424"/>
      <c r="S732" s="2424"/>
      <c r="T732" s="2424"/>
      <c r="U732" s="2424"/>
      <c r="V732" s="2424"/>
      <c r="W732" s="2424"/>
      <c r="X732" s="2424"/>
      <c r="Y732" s="2424"/>
      <c r="Z732" s="2424"/>
      <c r="AA732" s="2424"/>
      <c r="AB732" s="2424"/>
      <c r="AC732" s="536"/>
      <c r="AD732" s="536"/>
      <c r="AE732" s="536"/>
      <c r="AF732" s="2524" t="s">
        <v>1409</v>
      </c>
      <c r="AG732" s="2524"/>
      <c r="AH732" s="2524"/>
      <c r="AI732" s="2524"/>
      <c r="AJ732" s="2524"/>
      <c r="AK732" s="2524"/>
      <c r="AL732" s="2524"/>
      <c r="AM732" s="550"/>
      <c r="AN732" s="684"/>
      <c r="AT732" s="14"/>
      <c r="AU732" s="14"/>
      <c r="AV732" s="14"/>
      <c r="AW732" s="14"/>
      <c r="AX732" s="14"/>
      <c r="AY732" s="14"/>
      <c r="AZ732" s="14"/>
    </row>
    <row r="733" spans="1:81" s="570" customFormat="1" ht="13">
      <c r="A733" s="550"/>
      <c r="B733" s="536"/>
      <c r="C733" s="933"/>
      <c r="D733" s="536"/>
      <c r="E733" s="2424"/>
      <c r="F733" s="2424"/>
      <c r="G733" s="2424"/>
      <c r="H733" s="2424"/>
      <c r="I733" s="2424"/>
      <c r="J733" s="2424"/>
      <c r="K733" s="2424"/>
      <c r="L733" s="2424"/>
      <c r="M733" s="2424"/>
      <c r="N733" s="2424"/>
      <c r="O733" s="2424"/>
      <c r="P733" s="2424"/>
      <c r="Q733" s="2424"/>
      <c r="R733" s="2424"/>
      <c r="S733" s="2424"/>
      <c r="T733" s="2424"/>
      <c r="U733" s="2424"/>
      <c r="V733" s="2424"/>
      <c r="W733" s="2424"/>
      <c r="X733" s="2424"/>
      <c r="Y733" s="2424"/>
      <c r="Z733" s="2424"/>
      <c r="AA733" s="2424"/>
      <c r="AB733" s="242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8" t="s">
        <v>592</v>
      </c>
      <c r="I735" s="244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31">
        <f>VLOOKUP($H$735,$AO$666:$AP$668,2,FALSE)</f>
        <v>0</v>
      </c>
      <c r="AK737" s="243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688</v>
      </c>
      <c r="E741" s="2424" t="s">
        <v>1443</v>
      </c>
      <c r="F741" s="2424"/>
      <c r="G741" s="2424"/>
      <c r="H741" s="2424"/>
      <c r="I741" s="2424"/>
      <c r="J741" s="2424"/>
      <c r="K741" s="2424"/>
      <c r="L741" s="2424"/>
      <c r="M741" s="2424"/>
      <c r="N741" s="2424"/>
      <c r="O741" s="2424"/>
      <c r="P741" s="2424"/>
      <c r="Q741" s="2424"/>
      <c r="R741" s="2424"/>
      <c r="S741" s="2424"/>
      <c r="T741" s="2424"/>
      <c r="U741" s="2424"/>
      <c r="V741" s="2424"/>
      <c r="W741" s="2424"/>
      <c r="X741" s="2424"/>
      <c r="Y741" s="2424"/>
      <c r="Z741" s="2424"/>
      <c r="AA741" s="2424"/>
      <c r="AB741" s="2424"/>
      <c r="AC741" s="536"/>
      <c r="AD741" s="536"/>
      <c r="AE741" s="536"/>
      <c r="AF741" s="2524" t="s">
        <v>1353</v>
      </c>
      <c r="AG741" s="2524"/>
      <c r="AH741" s="2524"/>
      <c r="AI741" s="2524"/>
      <c r="AJ741" s="2524"/>
      <c r="AK741" s="2524"/>
      <c r="AL741" s="2524"/>
      <c r="AM741" s="550"/>
      <c r="AN741" s="684"/>
      <c r="AT741" s="14"/>
      <c r="AU741" s="14"/>
      <c r="AV741" s="14"/>
      <c r="AW741" s="14"/>
      <c r="AX741" s="14"/>
      <c r="AY741" s="14"/>
      <c r="AZ741" s="14"/>
    </row>
    <row r="742" spans="1:81" s="570" customFormat="1" ht="13">
      <c r="A742" s="550"/>
      <c r="B742" s="536"/>
      <c r="C742" s="931"/>
      <c r="D742" s="663"/>
      <c r="E742" s="2424"/>
      <c r="F742" s="2424"/>
      <c r="G742" s="2424"/>
      <c r="H742" s="2424"/>
      <c r="I742" s="2424"/>
      <c r="J742" s="2424"/>
      <c r="K742" s="2424"/>
      <c r="L742" s="2424"/>
      <c r="M742" s="2424"/>
      <c r="N742" s="2424"/>
      <c r="O742" s="2424"/>
      <c r="P742" s="2424"/>
      <c r="Q742" s="2424"/>
      <c r="R742" s="2424"/>
      <c r="S742" s="2424"/>
      <c r="T742" s="2424"/>
      <c r="U742" s="2424"/>
      <c r="V742" s="2424"/>
      <c r="W742" s="2424"/>
      <c r="X742" s="2424"/>
      <c r="Y742" s="2424"/>
      <c r="Z742" s="2424"/>
      <c r="AA742" s="2424"/>
      <c r="AB742" s="242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24"/>
      <c r="F743" s="2424"/>
      <c r="G743" s="2424"/>
      <c r="H743" s="2424"/>
      <c r="I743" s="2424"/>
      <c r="J743" s="2424"/>
      <c r="K743" s="2424"/>
      <c r="L743" s="2424"/>
      <c r="M743" s="2424"/>
      <c r="N743" s="2424"/>
      <c r="O743" s="2424"/>
      <c r="P743" s="2424"/>
      <c r="Q743" s="2424"/>
      <c r="R743" s="2424"/>
      <c r="S743" s="2424"/>
      <c r="T743" s="2424"/>
      <c r="U743" s="2424"/>
      <c r="V743" s="2424"/>
      <c r="W743" s="2424"/>
      <c r="X743" s="2424"/>
      <c r="Y743" s="2424"/>
      <c r="Z743" s="2424"/>
      <c r="AA743" s="2424"/>
      <c r="AB743" s="242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4"/>
      <c r="F744" s="2424"/>
      <c r="G744" s="2424"/>
      <c r="H744" s="2424"/>
      <c r="I744" s="2424"/>
      <c r="J744" s="2424"/>
      <c r="K744" s="2424"/>
      <c r="L744" s="2424"/>
      <c r="M744" s="2424"/>
      <c r="N744" s="2424"/>
      <c r="O744" s="2424"/>
      <c r="P744" s="2424"/>
      <c r="Q744" s="2424"/>
      <c r="R744" s="2424"/>
      <c r="S744" s="2424"/>
      <c r="T744" s="2424"/>
      <c r="U744" s="2424"/>
      <c r="V744" s="2424"/>
      <c r="W744" s="2424"/>
      <c r="X744" s="2424"/>
      <c r="Y744" s="2424"/>
      <c r="Z744" s="2424"/>
      <c r="AA744" s="2424"/>
      <c r="AB744" s="242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510</v>
      </c>
      <c r="E746" s="2424" t="s">
        <v>1444</v>
      </c>
      <c r="F746" s="2424"/>
      <c r="G746" s="2424"/>
      <c r="H746" s="2424"/>
      <c r="I746" s="2424"/>
      <c r="J746" s="2424"/>
      <c r="K746" s="2424"/>
      <c r="L746" s="2424"/>
      <c r="M746" s="2424"/>
      <c r="N746" s="2424"/>
      <c r="O746" s="2424"/>
      <c r="P746" s="2424"/>
      <c r="Q746" s="2424"/>
      <c r="R746" s="2424"/>
      <c r="S746" s="2424"/>
      <c r="T746" s="2424"/>
      <c r="U746" s="2424"/>
      <c r="V746" s="2424"/>
      <c r="W746" s="2424"/>
      <c r="X746" s="2424"/>
      <c r="Y746" s="2424"/>
      <c r="Z746" s="2424"/>
      <c r="AA746" s="2424"/>
      <c r="AB746" s="575"/>
      <c r="AC746" s="536"/>
      <c r="AD746" s="536"/>
      <c r="AE746" s="536"/>
      <c r="AF746" s="2524" t="s">
        <v>1409</v>
      </c>
      <c r="AG746" s="2524"/>
      <c r="AH746" s="2524"/>
      <c r="AI746" s="2524"/>
      <c r="AJ746" s="2524"/>
      <c r="AK746" s="2524"/>
      <c r="AL746" s="2524"/>
      <c r="AM746" s="550"/>
      <c r="AN746" s="684"/>
      <c r="AO746" s="30"/>
      <c r="AP746" s="14"/>
    </row>
    <row r="747" spans="1:81" s="570" customFormat="1" ht="13">
      <c r="A747" s="550"/>
      <c r="B747" s="536"/>
      <c r="C747" s="931"/>
      <c r="D747" s="663"/>
      <c r="E747" s="2424"/>
      <c r="F747" s="2424"/>
      <c r="G747" s="2424"/>
      <c r="H747" s="2424"/>
      <c r="I747" s="2424"/>
      <c r="J747" s="2424"/>
      <c r="K747" s="2424"/>
      <c r="L747" s="2424"/>
      <c r="M747" s="2424"/>
      <c r="N747" s="2424"/>
      <c r="O747" s="2424"/>
      <c r="P747" s="2424"/>
      <c r="Q747" s="2424"/>
      <c r="R747" s="2424"/>
      <c r="S747" s="2424"/>
      <c r="T747" s="2424"/>
      <c r="U747" s="2424"/>
      <c r="V747" s="2424"/>
      <c r="W747" s="2424"/>
      <c r="X747" s="2424"/>
      <c r="Y747" s="2424"/>
      <c r="Z747" s="2424"/>
      <c r="AA747" s="2424"/>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24"/>
      <c r="F748" s="2424"/>
      <c r="G748" s="2424"/>
      <c r="H748" s="2424"/>
      <c r="I748" s="2424"/>
      <c r="J748" s="2424"/>
      <c r="K748" s="2424"/>
      <c r="L748" s="2424"/>
      <c r="M748" s="2424"/>
      <c r="N748" s="2424"/>
      <c r="O748" s="2424"/>
      <c r="P748" s="2424"/>
      <c r="Q748" s="2424"/>
      <c r="R748" s="2424"/>
      <c r="S748" s="2424"/>
      <c r="T748" s="2424"/>
      <c r="U748" s="2424"/>
      <c r="V748" s="2424"/>
      <c r="W748" s="2424"/>
      <c r="X748" s="2424"/>
      <c r="Y748" s="2424"/>
      <c r="Z748" s="2424"/>
      <c r="AA748" s="2424"/>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24"/>
      <c r="F749" s="2424"/>
      <c r="G749" s="2424"/>
      <c r="H749" s="2424"/>
      <c r="I749" s="2424"/>
      <c r="J749" s="2424"/>
      <c r="K749" s="2424"/>
      <c r="L749" s="2424"/>
      <c r="M749" s="2424"/>
      <c r="N749" s="2424"/>
      <c r="O749" s="2424"/>
      <c r="P749" s="2424"/>
      <c r="Q749" s="2424"/>
      <c r="R749" s="2424"/>
      <c r="S749" s="2424"/>
      <c r="T749" s="2424"/>
      <c r="U749" s="2424"/>
      <c r="V749" s="2424"/>
      <c r="W749" s="2424"/>
      <c r="X749" s="2424"/>
      <c r="Y749" s="2424"/>
      <c r="Z749" s="2424"/>
      <c r="AA749" s="2424"/>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8" t="s">
        <v>592</v>
      </c>
      <c r="I751" s="244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31">
        <f>VLOOKUP($H$751,$AO$680:$AP$682,2,FALSE)</f>
        <v>0</v>
      </c>
      <c r="AK753" s="243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688</v>
      </c>
      <c r="E757" s="2424" t="s">
        <v>1446</v>
      </c>
      <c r="F757" s="2424"/>
      <c r="G757" s="2424"/>
      <c r="H757" s="2424"/>
      <c r="I757" s="2424"/>
      <c r="J757" s="2424"/>
      <c r="K757" s="2424"/>
      <c r="L757" s="2424"/>
      <c r="M757" s="2424"/>
      <c r="N757" s="2424"/>
      <c r="O757" s="2424"/>
      <c r="P757" s="2424"/>
      <c r="Q757" s="2424"/>
      <c r="R757" s="2424"/>
      <c r="S757" s="2424"/>
      <c r="T757" s="2424"/>
      <c r="U757" s="2424"/>
      <c r="V757" s="2424"/>
      <c r="W757" s="2424"/>
      <c r="X757" s="2424"/>
      <c r="Y757" s="2424"/>
      <c r="Z757" s="2424"/>
      <c r="AA757" s="2424"/>
      <c r="AB757" s="2424"/>
      <c r="AC757" s="536"/>
      <c r="AD757" s="536"/>
      <c r="AE757" s="536"/>
      <c r="AF757" s="2524" t="s">
        <v>1409</v>
      </c>
      <c r="AG757" s="2524"/>
      <c r="AH757" s="2524"/>
      <c r="AI757" s="2524"/>
      <c r="AJ757" s="2524"/>
      <c r="AK757" s="2524"/>
      <c r="AL757" s="252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24"/>
      <c r="F758" s="2424"/>
      <c r="G758" s="2424"/>
      <c r="H758" s="2424"/>
      <c r="I758" s="2424"/>
      <c r="J758" s="2424"/>
      <c r="K758" s="2424"/>
      <c r="L758" s="2424"/>
      <c r="M758" s="2424"/>
      <c r="N758" s="2424"/>
      <c r="O758" s="2424"/>
      <c r="P758" s="2424"/>
      <c r="Q758" s="2424"/>
      <c r="R758" s="2424"/>
      <c r="S758" s="2424"/>
      <c r="T758" s="2424"/>
      <c r="U758" s="2424"/>
      <c r="V758" s="2424"/>
      <c r="W758" s="2424"/>
      <c r="X758" s="2424"/>
      <c r="Y758" s="2424"/>
      <c r="Z758" s="2424"/>
      <c r="AA758" s="2424"/>
      <c r="AB758" s="242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510</v>
      </c>
      <c r="E760" s="2424" t="s">
        <v>1447</v>
      </c>
      <c r="F760" s="2424"/>
      <c r="G760" s="2424"/>
      <c r="H760" s="2424"/>
      <c r="I760" s="2424"/>
      <c r="J760" s="2424"/>
      <c r="K760" s="2424"/>
      <c r="L760" s="2424"/>
      <c r="M760" s="2424"/>
      <c r="N760" s="2424"/>
      <c r="O760" s="2424"/>
      <c r="P760" s="2424"/>
      <c r="Q760" s="2424"/>
      <c r="R760" s="2424"/>
      <c r="S760" s="2424"/>
      <c r="T760" s="2424"/>
      <c r="U760" s="2424"/>
      <c r="V760" s="2424"/>
      <c r="W760" s="2424"/>
      <c r="X760" s="2424"/>
      <c r="Y760" s="2424"/>
      <c r="Z760" s="2424"/>
      <c r="AA760" s="2424"/>
      <c r="AB760" s="2424"/>
      <c r="AC760" s="536"/>
      <c r="AD760" s="536"/>
      <c r="AE760" s="536"/>
      <c r="AF760" s="2524" t="s">
        <v>1426</v>
      </c>
      <c r="AG760" s="2524"/>
      <c r="AH760" s="2524"/>
      <c r="AI760" s="2524"/>
      <c r="AJ760" s="2524"/>
      <c r="AK760" s="2524"/>
      <c r="AL760" s="252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4"/>
      <c r="F761" s="2424"/>
      <c r="G761" s="2424"/>
      <c r="H761" s="2424"/>
      <c r="I761" s="2424"/>
      <c r="J761" s="2424"/>
      <c r="K761" s="2424"/>
      <c r="L761" s="2424"/>
      <c r="M761" s="2424"/>
      <c r="N761" s="2424"/>
      <c r="O761" s="2424"/>
      <c r="P761" s="2424"/>
      <c r="Q761" s="2424"/>
      <c r="R761" s="2424"/>
      <c r="S761" s="2424"/>
      <c r="T761" s="2424"/>
      <c r="U761" s="2424"/>
      <c r="V761" s="2424"/>
      <c r="W761" s="2424"/>
      <c r="X761" s="2424"/>
      <c r="Y761" s="2424"/>
      <c r="Z761" s="2424"/>
      <c r="AA761" s="2424"/>
      <c r="AB761" s="242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8" t="s">
        <v>510</v>
      </c>
      <c r="I763" s="244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31">
        <f>VLOOKUP($H$763,$AO$697:$AP$699,2,FALSE)</f>
        <v>1</v>
      </c>
      <c r="AK765" s="243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688</v>
      </c>
      <c r="E769" s="2424" t="s">
        <v>1693</v>
      </c>
      <c r="F769" s="2424"/>
      <c r="G769" s="2424"/>
      <c r="H769" s="2424"/>
      <c r="I769" s="2424"/>
      <c r="J769" s="2424"/>
      <c r="K769" s="2424"/>
      <c r="L769" s="2424"/>
      <c r="M769" s="2424"/>
      <c r="N769" s="2424"/>
      <c r="O769" s="2424"/>
      <c r="P769" s="2424"/>
      <c r="Q769" s="2424"/>
      <c r="R769" s="2424"/>
      <c r="S769" s="2424"/>
      <c r="T769" s="2424"/>
      <c r="U769" s="2424"/>
      <c r="V769" s="2424"/>
      <c r="W769" s="2424"/>
      <c r="X769" s="2424"/>
      <c r="Y769" s="2424"/>
      <c r="Z769" s="2424"/>
      <c r="AA769" s="2424"/>
      <c r="AB769" s="2424"/>
      <c r="AC769" s="2424"/>
      <c r="AD769" s="2424"/>
      <c r="AE769" s="536"/>
      <c r="AF769" s="2524" t="s">
        <v>1409</v>
      </c>
      <c r="AG769" s="2524"/>
      <c r="AH769" s="2524"/>
      <c r="AI769" s="2524"/>
      <c r="AJ769" s="2524"/>
      <c r="AK769" s="2524"/>
      <c r="AL769" s="2524"/>
      <c r="AM769" s="613"/>
      <c r="AN769" s="684"/>
      <c r="AO769" s="550" t="s">
        <v>592</v>
      </c>
      <c r="AP769" s="673">
        <v>0</v>
      </c>
    </row>
    <row r="770" spans="1:81" s="570" customFormat="1" ht="13.75" customHeight="1">
      <c r="A770" s="550"/>
      <c r="B770" s="616"/>
      <c r="C770" s="940"/>
      <c r="D770" s="663"/>
      <c r="E770" s="2424"/>
      <c r="F770" s="2424"/>
      <c r="G770" s="2424"/>
      <c r="H770" s="2424"/>
      <c r="I770" s="2424"/>
      <c r="J770" s="2424"/>
      <c r="K770" s="2424"/>
      <c r="L770" s="2424"/>
      <c r="M770" s="2424"/>
      <c r="N770" s="2424"/>
      <c r="O770" s="2424"/>
      <c r="P770" s="2424"/>
      <c r="Q770" s="2424"/>
      <c r="R770" s="2424"/>
      <c r="S770" s="2424"/>
      <c r="T770" s="2424"/>
      <c r="U770" s="2424"/>
      <c r="V770" s="2424"/>
      <c r="W770" s="2424"/>
      <c r="X770" s="2424"/>
      <c r="Y770" s="2424"/>
      <c r="Z770" s="2424"/>
      <c r="AA770" s="2424"/>
      <c r="AB770" s="2424"/>
      <c r="AC770" s="2424"/>
      <c r="AD770" s="2424"/>
      <c r="AE770" s="536"/>
      <c r="AF770" s="594"/>
      <c r="AG770" s="594"/>
      <c r="AH770" s="594"/>
      <c r="AI770" s="594"/>
      <c r="AJ770" s="594"/>
      <c r="AK770" s="594"/>
      <c r="AL770" s="594"/>
      <c r="AM770" s="613"/>
      <c r="AN770" s="684"/>
      <c r="AO770" s="611" t="s">
        <v>688</v>
      </c>
      <c r="AP770" s="550">
        <v>2</v>
      </c>
    </row>
    <row r="771" spans="1:81" s="570" customFormat="1" ht="13">
      <c r="A771" s="550"/>
      <c r="B771" s="616"/>
      <c r="C771" s="940"/>
      <c r="D771" s="663"/>
      <c r="E771" s="2424"/>
      <c r="F771" s="2424"/>
      <c r="G771" s="2424"/>
      <c r="H771" s="2424"/>
      <c r="I771" s="2424"/>
      <c r="J771" s="2424"/>
      <c r="K771" s="2424"/>
      <c r="L771" s="2424"/>
      <c r="M771" s="2424"/>
      <c r="N771" s="2424"/>
      <c r="O771" s="2424"/>
      <c r="P771" s="2424"/>
      <c r="Q771" s="2424"/>
      <c r="R771" s="2424"/>
      <c r="S771" s="2424"/>
      <c r="T771" s="2424"/>
      <c r="U771" s="2424"/>
      <c r="V771" s="2424"/>
      <c r="W771" s="2424"/>
      <c r="X771" s="2424"/>
      <c r="Y771" s="2424"/>
      <c r="Z771" s="2424"/>
      <c r="AA771" s="2424"/>
      <c r="AB771" s="2424"/>
      <c r="AC771" s="2424"/>
      <c r="AD771" s="2424"/>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24"/>
      <c r="F772" s="2424"/>
      <c r="G772" s="2424"/>
      <c r="H772" s="2424"/>
      <c r="I772" s="2424"/>
      <c r="J772" s="2424"/>
      <c r="K772" s="2424"/>
      <c r="L772" s="2424"/>
      <c r="M772" s="2424"/>
      <c r="N772" s="2424"/>
      <c r="O772" s="2424"/>
      <c r="P772" s="2424"/>
      <c r="Q772" s="2424"/>
      <c r="R772" s="2424"/>
      <c r="S772" s="2424"/>
      <c r="T772" s="2424"/>
      <c r="U772" s="2424"/>
      <c r="V772" s="2424"/>
      <c r="W772" s="2424"/>
      <c r="X772" s="2424"/>
      <c r="Y772" s="2424"/>
      <c r="Z772" s="2424"/>
      <c r="AA772" s="2424"/>
      <c r="AB772" s="2424"/>
      <c r="AC772" s="2424"/>
      <c r="AD772" s="242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5" t="s">
        <v>1698</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524" t="s">
        <v>1353</v>
      </c>
      <c r="AG774" s="2524"/>
      <c r="AH774" s="2524"/>
      <c r="AI774" s="2524"/>
      <c r="AJ774" s="2524"/>
      <c r="AK774" s="2524"/>
      <c r="AL774" s="2524"/>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8" t="s">
        <v>592</v>
      </c>
      <c r="I779" s="244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31">
        <f>VLOOKUP($H$779,$AO$769:$AP$771,2,FALSE)</f>
        <v>0</v>
      </c>
      <c r="AK781" s="2433"/>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688</v>
      </c>
      <c r="E785" s="2424" t="s">
        <v>2034</v>
      </c>
      <c r="F785" s="2424"/>
      <c r="G785" s="2424"/>
      <c r="H785" s="2424"/>
      <c r="I785" s="2424"/>
      <c r="J785" s="2424"/>
      <c r="K785" s="2424"/>
      <c r="L785" s="2424"/>
      <c r="M785" s="2424"/>
      <c r="N785" s="2424"/>
      <c r="O785" s="2424"/>
      <c r="P785" s="2424"/>
      <c r="Q785" s="2424"/>
      <c r="R785" s="2424"/>
      <c r="S785" s="2424"/>
      <c r="T785" s="2424"/>
      <c r="U785" s="2424"/>
      <c r="V785" s="2424"/>
      <c r="W785" s="2424"/>
      <c r="X785" s="2424"/>
      <c r="Y785" s="2424"/>
      <c r="Z785" s="2424"/>
      <c r="AA785" s="2424"/>
      <c r="AB785" s="2424"/>
      <c r="AC785" s="2424"/>
      <c r="AD785" s="2424"/>
      <c r="AE785" s="536"/>
      <c r="AF785" s="2524" t="s">
        <v>1353</v>
      </c>
      <c r="AG785" s="2524"/>
      <c r="AH785" s="2524"/>
      <c r="AI785" s="2524"/>
      <c r="AJ785" s="2524"/>
      <c r="AK785" s="2524"/>
      <c r="AL785" s="2524"/>
      <c r="AM785" s="613"/>
      <c r="AN785" s="684"/>
      <c r="AO785" s="611" t="s">
        <v>546</v>
      </c>
      <c r="AP785" s="550">
        <v>3</v>
      </c>
      <c r="AT785" s="674"/>
      <c r="AU785" s="674"/>
      <c r="AV785" s="674"/>
      <c r="AW785" s="674"/>
      <c r="AX785" s="674"/>
      <c r="AY785" s="674"/>
      <c r="AZ785" s="674"/>
    </row>
    <row r="786" spans="1:81" s="570" customFormat="1" ht="13.75" customHeight="1">
      <c r="A786" s="550"/>
      <c r="B786" s="616"/>
      <c r="C786" s="940"/>
      <c r="D786" s="663"/>
      <c r="E786" s="2424"/>
      <c r="F786" s="2424"/>
      <c r="G786" s="2424"/>
      <c r="H786" s="2424"/>
      <c r="I786" s="2424"/>
      <c r="J786" s="2424"/>
      <c r="K786" s="2424"/>
      <c r="L786" s="2424"/>
      <c r="M786" s="2424"/>
      <c r="N786" s="2424"/>
      <c r="O786" s="2424"/>
      <c r="P786" s="2424"/>
      <c r="Q786" s="2424"/>
      <c r="R786" s="2424"/>
      <c r="S786" s="2424"/>
      <c r="T786" s="2424"/>
      <c r="U786" s="2424"/>
      <c r="V786" s="2424"/>
      <c r="W786" s="2424"/>
      <c r="X786" s="2424"/>
      <c r="Y786" s="2424"/>
      <c r="Z786" s="2424"/>
      <c r="AA786" s="2424"/>
      <c r="AB786" s="2424"/>
      <c r="AC786" s="2424"/>
      <c r="AD786" s="242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24"/>
      <c r="F787" s="2424"/>
      <c r="G787" s="2424"/>
      <c r="H787" s="2424"/>
      <c r="I787" s="2424"/>
      <c r="J787" s="2424"/>
      <c r="K787" s="2424"/>
      <c r="L787" s="2424"/>
      <c r="M787" s="2424"/>
      <c r="N787" s="2424"/>
      <c r="O787" s="2424"/>
      <c r="P787" s="2424"/>
      <c r="Q787" s="2424"/>
      <c r="R787" s="2424"/>
      <c r="S787" s="2424"/>
      <c r="T787" s="2424"/>
      <c r="U787" s="2424"/>
      <c r="V787" s="2424"/>
      <c r="W787" s="2424"/>
      <c r="X787" s="2424"/>
      <c r="Y787" s="2424"/>
      <c r="Z787" s="2424"/>
      <c r="AA787" s="2424"/>
      <c r="AB787" s="2424"/>
      <c r="AC787" s="2424"/>
      <c r="AD787" s="242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24"/>
      <c r="F788" s="2424"/>
      <c r="G788" s="2424"/>
      <c r="H788" s="2424"/>
      <c r="I788" s="2424"/>
      <c r="J788" s="2424"/>
      <c r="K788" s="2424"/>
      <c r="L788" s="2424"/>
      <c r="M788" s="2424"/>
      <c r="N788" s="2424"/>
      <c r="O788" s="2424"/>
      <c r="P788" s="2424"/>
      <c r="Q788" s="2424"/>
      <c r="R788" s="2424"/>
      <c r="S788" s="2424"/>
      <c r="T788" s="2424"/>
      <c r="U788" s="2424"/>
      <c r="V788" s="2424"/>
      <c r="W788" s="2424"/>
      <c r="X788" s="2424"/>
      <c r="Y788" s="2424"/>
      <c r="Z788" s="2424"/>
      <c r="AA788" s="2424"/>
      <c r="AB788" s="2424"/>
      <c r="AC788" s="2424"/>
      <c r="AD788" s="242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1401</v>
      </c>
      <c r="E790" s="936"/>
      <c r="F790" s="936"/>
      <c r="G790" s="936"/>
      <c r="H790" s="2448" t="s">
        <v>592</v>
      </c>
      <c r="I790" s="244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31">
        <f>VLOOKUP($H$790,$AO$784:$AP$785,2,FALSE)</f>
        <v>0</v>
      </c>
      <c r="AK792" s="243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31">
        <f>IF(($AJ$621+$AJ$640+$AJ$652+$AJ$687+$AJ$711+$AJ$725+$AJ$737+$AJ$753+$AJ$765+$AJ$781+AJ792)&gt;10,10,($AJ$621+$AJ$640+$AJ$652+$AJ$687+$AJ$711+$AJ$725+$AJ$737+$AJ$753+$AJ$765+$AJ$781+AJ792))</f>
        <v>10</v>
      </c>
      <c r="AL794" s="2432"/>
      <c r="AM794" s="243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5" t="s">
        <v>1569</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6"/>
      <c r="B800" s="2446"/>
      <c r="C800" s="2446"/>
      <c r="D800" s="2446"/>
      <c r="E800" s="2446"/>
      <c r="F800" s="2446"/>
      <c r="G800" s="2446"/>
      <c r="H800" s="2446"/>
      <c r="I800" s="2446"/>
      <c r="J800" s="2446"/>
      <c r="K800" s="2446"/>
      <c r="L800" s="2446"/>
      <c r="M800" s="2446"/>
      <c r="N800" s="2446"/>
      <c r="O800" s="2446"/>
      <c r="P800" s="2446"/>
      <c r="Q800" s="2446"/>
      <c r="R800" s="2446"/>
      <c r="S800" s="2446"/>
      <c r="T800" s="2446"/>
      <c r="U800" s="2446"/>
      <c r="V800" s="2446"/>
      <c r="W800" s="2446"/>
      <c r="X800" s="2446"/>
      <c r="Y800" s="2446"/>
      <c r="Z800" s="2446"/>
      <c r="AA800" s="2446"/>
      <c r="AB800" s="2446"/>
      <c r="AC800" s="2446"/>
      <c r="AD800" s="2446"/>
      <c r="AE800" s="2446"/>
      <c r="AF800" s="2446"/>
      <c r="AG800" s="2446"/>
      <c r="AH800" s="2446"/>
      <c r="AI800" s="2446"/>
      <c r="AJ800" s="2446"/>
      <c r="AK800" s="2446"/>
      <c r="AL800" s="2446"/>
      <c r="AM800" s="2446"/>
      <c r="AP800" s="816"/>
      <c r="AQ800" s="816"/>
    </row>
    <row r="801" spans="1:81" ht="13">
      <c r="A801" s="2446"/>
      <c r="B801" s="2446"/>
      <c r="C801" s="2446"/>
      <c r="D801" s="2446"/>
      <c r="E801" s="2446"/>
      <c r="F801" s="2446"/>
      <c r="G801" s="2446"/>
      <c r="H801" s="2446"/>
      <c r="I801" s="2446"/>
      <c r="J801" s="2446"/>
      <c r="K801" s="2446"/>
      <c r="L801" s="2446"/>
      <c r="M801" s="2446"/>
      <c r="N801" s="2446"/>
      <c r="O801" s="2446"/>
      <c r="P801" s="2446"/>
      <c r="Q801" s="2446"/>
      <c r="R801" s="2446"/>
      <c r="S801" s="2446"/>
      <c r="T801" s="2446"/>
      <c r="U801" s="2446"/>
      <c r="V801" s="2446"/>
      <c r="W801" s="2446"/>
      <c r="X801" s="2446"/>
      <c r="Y801" s="2446"/>
      <c r="Z801" s="2446"/>
      <c r="AA801" s="2446"/>
      <c r="AB801" s="2446"/>
      <c r="AC801" s="2446"/>
      <c r="AD801" s="2446"/>
      <c r="AE801" s="2446"/>
      <c r="AF801" s="2446"/>
      <c r="AG801" s="2446"/>
      <c r="AH801" s="2446"/>
      <c r="AI801" s="2446"/>
      <c r="AJ801" s="2446"/>
      <c r="AK801" s="2446"/>
      <c r="AL801" s="2446"/>
      <c r="AM801" s="2446"/>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8" t="s">
        <v>1570</v>
      </c>
      <c r="U802" s="2519"/>
      <c r="V802" s="2519"/>
      <c r="W802" s="2519"/>
      <c r="X802" s="2519"/>
      <c r="Y802" s="2520"/>
      <c r="Z802" s="2518" t="s">
        <v>1571</v>
      </c>
      <c r="AA802" s="2519"/>
      <c r="AB802" s="2519"/>
      <c r="AC802" s="2519"/>
      <c r="AD802" s="2519"/>
      <c r="AE802" s="2520"/>
      <c r="AF802" s="2518" t="s">
        <v>1572</v>
      </c>
      <c r="AG802" s="2519"/>
      <c r="AH802" s="2519"/>
      <c r="AI802" s="2519"/>
      <c r="AJ802" s="2519"/>
      <c r="AK802" s="2520"/>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21"/>
      <c r="U803" s="2522"/>
      <c r="V803" s="2522"/>
      <c r="W803" s="2522"/>
      <c r="X803" s="2522"/>
      <c r="Y803" s="2523"/>
      <c r="Z803" s="2521"/>
      <c r="AA803" s="2522"/>
      <c r="AB803" s="2522"/>
      <c r="AC803" s="2522"/>
      <c r="AD803" s="2522"/>
      <c r="AE803" s="2523"/>
      <c r="AF803" s="2521"/>
      <c r="AG803" s="2522"/>
      <c r="AH803" s="2522"/>
      <c r="AI803" s="2522"/>
      <c r="AJ803" s="2522"/>
      <c r="AK803" s="2523"/>
      <c r="AL803" s="818"/>
      <c r="AM803" s="596"/>
      <c r="AO803" s="816"/>
      <c r="AP803" s="816"/>
      <c r="AQ803" s="816"/>
    </row>
    <row r="804" spans="1:81" ht="13">
      <c r="A804" s="819" t="s">
        <v>758</v>
      </c>
      <c r="B804" s="2475" t="s">
        <v>1305</v>
      </c>
      <c r="C804" s="2475"/>
      <c r="D804" s="2475"/>
      <c r="E804" s="2475"/>
      <c r="F804" s="2475"/>
      <c r="G804" s="2475"/>
      <c r="H804" s="2475"/>
      <c r="I804" s="2475"/>
      <c r="J804" s="2475"/>
      <c r="K804" s="2475"/>
      <c r="L804" s="2475"/>
      <c r="M804" s="2475"/>
      <c r="N804" s="2475"/>
      <c r="O804" s="2475"/>
      <c r="P804" s="2475"/>
      <c r="Q804" s="2475"/>
      <c r="R804" s="2475"/>
      <c r="S804" s="2476"/>
      <c r="T804" s="2503">
        <f>AK62</f>
        <v>0</v>
      </c>
      <c r="U804" s="2479"/>
      <c r="V804" s="2479"/>
      <c r="W804" s="2479"/>
      <c r="X804" s="2479"/>
      <c r="Y804" s="2480"/>
      <c r="Z804" s="2478">
        <v>20</v>
      </c>
      <c r="AA804" s="2479"/>
      <c r="AB804" s="2479"/>
      <c r="AC804" s="2479"/>
      <c r="AD804" s="2479"/>
      <c r="AE804" s="2480"/>
      <c r="AF804" s="2443">
        <f>IF(T804&gt;Z804,Z804,T804)</f>
        <v>0</v>
      </c>
      <c r="AG804" s="2443"/>
      <c r="AH804" s="2443"/>
      <c r="AI804" s="2443"/>
      <c r="AJ804" s="2443"/>
      <c r="AK804" s="2443"/>
      <c r="AL804" s="818"/>
      <c r="AM804" s="596"/>
      <c r="AO804" s="816"/>
      <c r="AP804" s="816"/>
      <c r="AQ804" s="816"/>
    </row>
    <row r="805" spans="1:81" ht="13">
      <c r="A805" s="819" t="s">
        <v>1542</v>
      </c>
      <c r="B805" s="2475" t="s">
        <v>1314</v>
      </c>
      <c r="C805" s="2475"/>
      <c r="D805" s="2475"/>
      <c r="E805" s="2475"/>
      <c r="F805" s="2475"/>
      <c r="G805" s="2475"/>
      <c r="H805" s="2475"/>
      <c r="I805" s="2475"/>
      <c r="J805" s="2475"/>
      <c r="K805" s="2475"/>
      <c r="L805" s="2475"/>
      <c r="M805" s="2475"/>
      <c r="N805" s="2475"/>
      <c r="O805" s="2475"/>
      <c r="P805" s="2475"/>
      <c r="Q805" s="2475"/>
      <c r="R805" s="2475"/>
      <c r="S805" s="2476"/>
      <c r="T805" s="2503">
        <f>AK84</f>
        <v>10</v>
      </c>
      <c r="U805" s="2479"/>
      <c r="V805" s="2479"/>
      <c r="W805" s="2479"/>
      <c r="X805" s="2479"/>
      <c r="Y805" s="2480"/>
      <c r="Z805" s="2478">
        <v>10</v>
      </c>
      <c r="AA805" s="2479"/>
      <c r="AB805" s="2479"/>
      <c r="AC805" s="2479"/>
      <c r="AD805" s="2479"/>
      <c r="AE805" s="2480"/>
      <c r="AF805" s="2443">
        <f>IF(T805&gt;Z805,Z805,T805)</f>
        <v>10</v>
      </c>
      <c r="AG805" s="2443"/>
      <c r="AH805" s="2443"/>
      <c r="AI805" s="2443"/>
      <c r="AJ805" s="2443"/>
      <c r="AK805" s="2443"/>
      <c r="AL805" s="818"/>
      <c r="AM805" s="596"/>
      <c r="AO805" s="816"/>
      <c r="AP805" s="816"/>
      <c r="AQ805" s="816"/>
    </row>
    <row r="806" spans="1:81" ht="13">
      <c r="A806" s="819" t="s">
        <v>1551</v>
      </c>
      <c r="B806" s="2475" t="s">
        <v>1324</v>
      </c>
      <c r="C806" s="2475"/>
      <c r="D806" s="2475"/>
      <c r="E806" s="2475"/>
      <c r="F806" s="2475"/>
      <c r="G806" s="2475"/>
      <c r="H806" s="2475"/>
      <c r="I806" s="2475"/>
      <c r="J806" s="2475"/>
      <c r="K806" s="2475"/>
      <c r="L806" s="2475"/>
      <c r="M806" s="2475"/>
      <c r="N806" s="2475"/>
      <c r="O806" s="2475"/>
      <c r="P806" s="2475"/>
      <c r="Q806" s="2475"/>
      <c r="R806" s="2475"/>
      <c r="S806" s="2476"/>
      <c r="T806" s="2503">
        <f ca="1">AK109</f>
        <v>20</v>
      </c>
      <c r="U806" s="2479"/>
      <c r="V806" s="2479"/>
      <c r="W806" s="2479"/>
      <c r="X806" s="2479"/>
      <c r="Y806" s="2480"/>
      <c r="Z806" s="2478">
        <v>20</v>
      </c>
      <c r="AA806" s="2479"/>
      <c r="AB806" s="2479"/>
      <c r="AC806" s="2479"/>
      <c r="AD806" s="2479"/>
      <c r="AE806" s="2480"/>
      <c r="AF806" s="2443">
        <f ca="1">IF(T806&gt;Z806,Z806,T806)</f>
        <v>20</v>
      </c>
      <c r="AG806" s="2443"/>
      <c r="AH806" s="2443"/>
      <c r="AI806" s="2443"/>
      <c r="AJ806" s="2443"/>
      <c r="AK806" s="2443"/>
      <c r="AL806" s="818"/>
      <c r="AM806" s="596"/>
      <c r="AO806" s="816"/>
      <c r="AP806" s="816"/>
      <c r="AQ806" s="816"/>
    </row>
    <row r="807" spans="1:81" ht="13">
      <c r="A807" s="819" t="s">
        <v>1573</v>
      </c>
      <c r="B807" s="2475" t="s">
        <v>1334</v>
      </c>
      <c r="C807" s="2475"/>
      <c r="D807" s="2475"/>
      <c r="E807" s="2475"/>
      <c r="F807" s="2475"/>
      <c r="G807" s="2475"/>
      <c r="H807" s="2475"/>
      <c r="I807" s="2475"/>
      <c r="J807" s="2475"/>
      <c r="K807" s="2475"/>
      <c r="L807" s="2475"/>
      <c r="M807" s="2475"/>
      <c r="N807" s="2475"/>
      <c r="O807" s="2475"/>
      <c r="P807" s="2475"/>
      <c r="Q807" s="2475"/>
      <c r="R807" s="2475"/>
      <c r="S807" s="2476"/>
      <c r="T807" s="2503">
        <f>AK143</f>
        <v>10</v>
      </c>
      <c r="U807" s="2479"/>
      <c r="V807" s="2479"/>
      <c r="W807" s="2479"/>
      <c r="X807" s="2479"/>
      <c r="Y807" s="2480"/>
      <c r="Z807" s="2478">
        <v>10</v>
      </c>
      <c r="AA807" s="2479"/>
      <c r="AB807" s="2479"/>
      <c r="AC807" s="2479"/>
      <c r="AD807" s="2479"/>
      <c r="AE807" s="2480"/>
      <c r="AF807" s="2443">
        <f>IF(T807&gt;Z807,Z807,T807)</f>
        <v>10</v>
      </c>
      <c r="AG807" s="2443"/>
      <c r="AH807" s="2443"/>
      <c r="AI807" s="2443"/>
      <c r="AJ807" s="2443"/>
      <c r="AK807" s="2443"/>
      <c r="AL807" s="818"/>
      <c r="AM807" s="596"/>
      <c r="AO807" s="816"/>
      <c r="AP807" s="816"/>
      <c r="AQ807" s="816"/>
    </row>
    <row r="808" spans="1:81" ht="13">
      <c r="A808" s="820" t="s">
        <v>1574</v>
      </c>
      <c r="B808" s="2475" t="s">
        <v>1575</v>
      </c>
      <c r="C808" s="2475"/>
      <c r="D808" s="2475"/>
      <c r="E808" s="2475"/>
      <c r="F808" s="2475"/>
      <c r="G808" s="2475"/>
      <c r="H808" s="2475"/>
      <c r="I808" s="2475"/>
      <c r="J808" s="2475"/>
      <c r="K808" s="2475"/>
      <c r="L808" s="2475"/>
      <c r="M808" s="2475"/>
      <c r="N808" s="2475"/>
      <c r="O808" s="2475"/>
      <c r="P808" s="2475"/>
      <c r="Q808" s="2475"/>
      <c r="R808" s="2475"/>
      <c r="S808" s="2476"/>
      <c r="T808" s="2477">
        <f>SUM(T809:Y810)</f>
        <v>10</v>
      </c>
      <c r="U808" s="2477"/>
      <c r="V808" s="2477"/>
      <c r="W808" s="2477"/>
      <c r="X808" s="2477"/>
      <c r="Y808" s="2477"/>
      <c r="Z808" s="2443">
        <v>10</v>
      </c>
      <c r="AA808" s="2443"/>
      <c r="AB808" s="2443"/>
      <c r="AC808" s="2443"/>
      <c r="AD808" s="2443"/>
      <c r="AE808" s="2443"/>
      <c r="AF808" s="2443">
        <f>IF(T808&gt;Z808,Z808,T808)</f>
        <v>10</v>
      </c>
      <c r="AG808" s="2443"/>
      <c r="AH808" s="2443"/>
      <c r="AI808" s="2443"/>
      <c r="AJ808" s="2443"/>
      <c r="AK808" s="2443"/>
      <c r="AL808" s="818"/>
      <c r="AM808" s="596"/>
    </row>
    <row r="809" spans="1:81" ht="13">
      <c r="A809" s="535"/>
      <c r="B809" s="601"/>
      <c r="C809" s="2481" t="s">
        <v>1576</v>
      </c>
      <c r="D809" s="2481"/>
      <c r="E809" s="2481"/>
      <c r="F809" s="2481"/>
      <c r="G809" s="2481"/>
      <c r="H809" s="2481"/>
      <c r="I809" s="2481"/>
      <c r="J809" s="2481"/>
      <c r="K809" s="2481"/>
      <c r="L809" s="2481"/>
      <c r="M809" s="2481"/>
      <c r="N809" s="2481"/>
      <c r="O809" s="2481"/>
      <c r="P809" s="2481"/>
      <c r="Q809" s="2481"/>
      <c r="R809" s="2481"/>
      <c r="S809" s="2482"/>
      <c r="T809" s="2483">
        <f>AJ166</f>
        <v>7</v>
      </c>
      <c r="U809" s="2483"/>
      <c r="V809" s="2483"/>
      <c r="W809" s="2483"/>
      <c r="X809" s="2483"/>
      <c r="Y809" s="2483"/>
      <c r="Z809" s="2484">
        <v>7</v>
      </c>
      <c r="AA809" s="2484"/>
      <c r="AB809" s="2484"/>
      <c r="AC809" s="2484"/>
      <c r="AD809" s="2484"/>
      <c r="AE809" s="2484"/>
      <c r="AF809" s="2485"/>
      <c r="AG809" s="2485"/>
      <c r="AH809" s="2485"/>
      <c r="AI809" s="2485"/>
      <c r="AJ809" s="2485"/>
      <c r="AK809" s="2485"/>
      <c r="AL809" s="818"/>
      <c r="AM809" s="596"/>
    </row>
    <row r="810" spans="1:81" ht="13">
      <c r="A810" s="600"/>
      <c r="B810" s="601"/>
      <c r="C810" s="2481" t="s">
        <v>1577</v>
      </c>
      <c r="D810" s="2481"/>
      <c r="E810" s="2481"/>
      <c r="F810" s="2481"/>
      <c r="G810" s="2481"/>
      <c r="H810" s="2481"/>
      <c r="I810" s="2481"/>
      <c r="J810" s="2481"/>
      <c r="K810" s="2481"/>
      <c r="L810" s="2481"/>
      <c r="M810" s="2481"/>
      <c r="N810" s="2481"/>
      <c r="O810" s="2481"/>
      <c r="P810" s="2481"/>
      <c r="Q810" s="2481"/>
      <c r="R810" s="2481"/>
      <c r="S810" s="2482"/>
      <c r="T810" s="2483">
        <f>AJ180</f>
        <v>3</v>
      </c>
      <c r="U810" s="2483"/>
      <c r="V810" s="2483"/>
      <c r="W810" s="2483"/>
      <c r="X810" s="2483"/>
      <c r="Y810" s="2483"/>
      <c r="Z810" s="2484">
        <v>3</v>
      </c>
      <c r="AA810" s="2484"/>
      <c r="AB810" s="2484"/>
      <c r="AC810" s="2484"/>
      <c r="AD810" s="2484"/>
      <c r="AE810" s="2484"/>
      <c r="AF810" s="2485"/>
      <c r="AG810" s="2485"/>
      <c r="AH810" s="2485"/>
      <c r="AI810" s="2485"/>
      <c r="AJ810" s="2485"/>
      <c r="AK810" s="2485"/>
      <c r="AL810" s="818"/>
      <c r="AM810" s="596"/>
      <c r="AO810" s="550"/>
    </row>
    <row r="811" spans="1:81" ht="13">
      <c r="A811" s="820" t="s">
        <v>1362</v>
      </c>
      <c r="B811" s="2475" t="s">
        <v>1578</v>
      </c>
      <c r="C811" s="2475"/>
      <c r="D811" s="2475"/>
      <c r="E811" s="2475"/>
      <c r="F811" s="2475"/>
      <c r="G811" s="2475"/>
      <c r="H811" s="2475"/>
      <c r="I811" s="2475"/>
      <c r="J811" s="2475"/>
      <c r="K811" s="2475"/>
      <c r="L811" s="2475"/>
      <c r="M811" s="2475"/>
      <c r="N811" s="2475"/>
      <c r="O811" s="2475"/>
      <c r="P811" s="2475"/>
      <c r="Q811" s="2475"/>
      <c r="R811" s="2475"/>
      <c r="S811" s="2476"/>
      <c r="T811" s="2477">
        <f>AK191</f>
        <v>10</v>
      </c>
      <c r="U811" s="2477"/>
      <c r="V811" s="2477"/>
      <c r="W811" s="2477"/>
      <c r="X811" s="2477"/>
      <c r="Y811" s="2477"/>
      <c r="Z811" s="2443">
        <v>10</v>
      </c>
      <c r="AA811" s="2443"/>
      <c r="AB811" s="2443"/>
      <c r="AC811" s="2443"/>
      <c r="AD811" s="2443"/>
      <c r="AE811" s="2443"/>
      <c r="AF811" s="2443">
        <f>IF(T811&gt;Z811,Z811,T811)</f>
        <v>10</v>
      </c>
      <c r="AG811" s="2443"/>
      <c r="AH811" s="2443"/>
      <c r="AI811" s="2443"/>
      <c r="AJ811" s="2443"/>
      <c r="AK811" s="2443"/>
      <c r="AL811" s="818"/>
      <c r="AM811" s="596"/>
    </row>
    <row r="812" spans="1:81" ht="13">
      <c r="A812" s="819" t="s">
        <v>1371</v>
      </c>
      <c r="B812" s="2475" t="s">
        <v>1372</v>
      </c>
      <c r="C812" s="2475"/>
      <c r="D812" s="2475"/>
      <c r="E812" s="2475"/>
      <c r="F812" s="2475"/>
      <c r="G812" s="2475"/>
      <c r="H812" s="2475"/>
      <c r="I812" s="2475"/>
      <c r="J812" s="2475"/>
      <c r="K812" s="2475"/>
      <c r="L812" s="2475"/>
      <c r="M812" s="2475"/>
      <c r="N812" s="2475"/>
      <c r="O812" s="2475"/>
      <c r="P812" s="2475"/>
      <c r="Q812" s="2475"/>
      <c r="R812" s="2475"/>
      <c r="S812" s="2476"/>
      <c r="T812" s="2477">
        <f>AK273</f>
        <v>8</v>
      </c>
      <c r="U812" s="2477"/>
      <c r="V812" s="2477"/>
      <c r="W812" s="2477"/>
      <c r="X812" s="2477"/>
      <c r="Y812" s="2477"/>
      <c r="Z812" s="2478">
        <v>8</v>
      </c>
      <c r="AA812" s="2479"/>
      <c r="AB812" s="2479"/>
      <c r="AC812" s="2479"/>
      <c r="AD812" s="2479"/>
      <c r="AE812" s="2480"/>
      <c r="AF812" s="2443">
        <f>IF(T812&gt;Z812,Z812,T812)</f>
        <v>8</v>
      </c>
      <c r="AG812" s="2443"/>
      <c r="AH812" s="2443"/>
      <c r="AI812" s="2443"/>
      <c r="AJ812" s="2443"/>
      <c r="AK812" s="2443"/>
      <c r="AL812" s="818"/>
      <c r="AM812" s="596"/>
    </row>
    <row r="813" spans="1:81" s="534" customFormat="1" ht="13" hidden="1">
      <c r="A813" s="820" t="s">
        <v>590</v>
      </c>
      <c r="B813" s="2475" t="s">
        <v>1579</v>
      </c>
      <c r="C813" s="2475"/>
      <c r="D813" s="2475"/>
      <c r="E813" s="2475"/>
      <c r="F813" s="2475"/>
      <c r="G813" s="2475"/>
      <c r="H813" s="2475"/>
      <c r="I813" s="2475"/>
      <c r="J813" s="2475"/>
      <c r="K813" s="2475"/>
      <c r="L813" s="2475"/>
      <c r="M813" s="2475"/>
      <c r="N813" s="2475"/>
      <c r="O813" s="2475"/>
      <c r="P813" s="2475"/>
      <c r="Q813" s="2475"/>
      <c r="R813" s="2475"/>
      <c r="S813" s="2476"/>
      <c r="T813" s="2477">
        <f>IF(AK535&gt;5,5,AK535)</f>
        <v>0</v>
      </c>
      <c r="U813" s="2477"/>
      <c r="V813" s="2477"/>
      <c r="W813" s="2477"/>
      <c r="X813" s="2477"/>
      <c r="Y813" s="2477"/>
      <c r="Z813" s="2443">
        <v>5</v>
      </c>
      <c r="AA813" s="2443"/>
      <c r="AB813" s="2443"/>
      <c r="AC813" s="2443"/>
      <c r="AD813" s="2443"/>
      <c r="AE813" s="2443"/>
      <c r="AF813" s="2443">
        <f>IF(T813&gt;Z813,5,T813)</f>
        <v>0</v>
      </c>
      <c r="AG813" s="2443"/>
      <c r="AH813" s="2443"/>
      <c r="AI813" s="2443"/>
      <c r="AJ813" s="2443"/>
      <c r="AK813" s="24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1377</v>
      </c>
      <c r="B814" s="2475" t="s">
        <v>1580</v>
      </c>
      <c r="C814" s="2475"/>
      <c r="D814" s="2475"/>
      <c r="E814" s="2475"/>
      <c r="F814" s="2475"/>
      <c r="G814" s="2475"/>
      <c r="H814" s="2475"/>
      <c r="I814" s="2475"/>
      <c r="J814" s="2475"/>
      <c r="K814" s="2475"/>
      <c r="L814" s="2475"/>
      <c r="M814" s="2475"/>
      <c r="N814" s="2475"/>
      <c r="O814" s="2475"/>
      <c r="P814" s="2475"/>
      <c r="Q814" s="2475"/>
      <c r="R814" s="2475"/>
      <c r="S814" s="2476"/>
      <c r="T814" s="2477">
        <f>AK285</f>
        <v>10</v>
      </c>
      <c r="U814" s="2477"/>
      <c r="V814" s="2477"/>
      <c r="W814" s="2477"/>
      <c r="X814" s="2477"/>
      <c r="Y814" s="2477"/>
      <c r="Z814" s="2443">
        <v>10</v>
      </c>
      <c r="AA814" s="2443"/>
      <c r="AB814" s="2443"/>
      <c r="AC814" s="2443"/>
      <c r="AD814" s="2443"/>
      <c r="AE814" s="2443"/>
      <c r="AF814" s="2486">
        <f>IF(T814&gt;Z814,Z814,T814)</f>
        <v>10</v>
      </c>
      <c r="AG814" s="2487"/>
      <c r="AH814" s="2487"/>
      <c r="AI814" s="2487"/>
      <c r="AJ814" s="2487"/>
      <c r="AK814" s="24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1381</v>
      </c>
      <c r="B815" s="2475" t="s">
        <v>1382</v>
      </c>
      <c r="C815" s="2475"/>
      <c r="D815" s="2475"/>
      <c r="E815" s="2475"/>
      <c r="F815" s="2475"/>
      <c r="G815" s="2475"/>
      <c r="H815" s="2475"/>
      <c r="I815" s="2475"/>
      <c r="J815" s="2475"/>
      <c r="K815" s="2475"/>
      <c r="L815" s="2475"/>
      <c r="M815" s="2475"/>
      <c r="N815" s="2475"/>
      <c r="O815" s="2475"/>
      <c r="P815" s="2475"/>
      <c r="Q815" s="2475"/>
      <c r="R815" s="2475"/>
      <c r="S815" s="2476"/>
      <c r="T815" s="2477">
        <f>AK338</f>
        <v>10</v>
      </c>
      <c r="U815" s="2477"/>
      <c r="V815" s="2477"/>
      <c r="W815" s="2477"/>
      <c r="X815" s="2477"/>
      <c r="Y815" s="2477"/>
      <c r="Z815" s="2486">
        <v>10</v>
      </c>
      <c r="AA815" s="2487"/>
      <c r="AB815" s="2487"/>
      <c r="AC815" s="2487"/>
      <c r="AD815" s="2487"/>
      <c r="AE815" s="2488"/>
      <c r="AF815" s="2486">
        <f>IF(T815&gt;Z815,Z815,T815)</f>
        <v>10</v>
      </c>
      <c r="AG815" s="2487"/>
      <c r="AH815" s="2487"/>
      <c r="AI815" s="2487"/>
      <c r="AJ815" s="2487"/>
      <c r="AK815" s="24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1581</v>
      </c>
      <c r="D816" s="823"/>
      <c r="E816" s="823"/>
      <c r="F816" s="823"/>
      <c r="G816" s="823"/>
      <c r="H816" s="823"/>
      <c r="I816" s="823"/>
      <c r="J816" s="823"/>
      <c r="K816" s="823"/>
      <c r="L816" s="823"/>
      <c r="M816" s="823"/>
      <c r="N816" s="823"/>
      <c r="O816" s="823"/>
      <c r="P816" s="823"/>
      <c r="Q816" s="823"/>
      <c r="R816" s="821"/>
      <c r="S816" s="824"/>
      <c r="T816" s="2483">
        <f>AK338</f>
        <v>10</v>
      </c>
      <c r="U816" s="2483"/>
      <c r="V816" s="2483"/>
      <c r="W816" s="2483"/>
      <c r="X816" s="2483"/>
      <c r="Y816" s="2483"/>
      <c r="Z816" s="2431">
        <v>20</v>
      </c>
      <c r="AA816" s="2432"/>
      <c r="AB816" s="2432"/>
      <c r="AC816" s="2432"/>
      <c r="AD816" s="2432"/>
      <c r="AE816" s="2433"/>
      <c r="AF816" s="2485"/>
      <c r="AG816" s="2485"/>
      <c r="AH816" s="2485"/>
      <c r="AI816" s="2485"/>
      <c r="AJ816" s="2485"/>
      <c r="AK816" s="24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1454</v>
      </c>
      <c r="B817" s="2475" t="s">
        <v>846</v>
      </c>
      <c r="C817" s="2475"/>
      <c r="D817" s="2475"/>
      <c r="E817" s="2475"/>
      <c r="F817" s="2475"/>
      <c r="G817" s="2475"/>
      <c r="H817" s="2475"/>
      <c r="I817" s="2475"/>
      <c r="J817" s="2475"/>
      <c r="K817" s="2475"/>
      <c r="L817" s="2475"/>
      <c r="M817" s="2475"/>
      <c r="N817" s="2475"/>
      <c r="O817" s="2475"/>
      <c r="P817" s="2475"/>
      <c r="Q817" s="2475"/>
      <c r="R817" s="2475"/>
      <c r="S817" s="2476"/>
      <c r="T817" s="2477">
        <f>AK469</f>
        <v>10</v>
      </c>
      <c r="U817" s="2477"/>
      <c r="V817" s="2477"/>
      <c r="W817" s="2477"/>
      <c r="X817" s="2477"/>
      <c r="Y817" s="2477"/>
      <c r="Z817" s="2486">
        <v>10</v>
      </c>
      <c r="AA817" s="2487"/>
      <c r="AB817" s="2487"/>
      <c r="AC817" s="2487"/>
      <c r="AD817" s="2487"/>
      <c r="AE817" s="2488"/>
      <c r="AF817" s="2443">
        <f>IF(T817&gt;Z817,Z817,T817)</f>
        <v>10</v>
      </c>
      <c r="AG817" s="2443"/>
      <c r="AH817" s="2443"/>
      <c r="AI817" s="2443"/>
      <c r="AJ817" s="2443"/>
      <c r="AK817" s="24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1559</v>
      </c>
      <c r="B818" s="2475" t="s">
        <v>1560</v>
      </c>
      <c r="C818" s="2475"/>
      <c r="D818" s="2475"/>
      <c r="E818" s="2475"/>
      <c r="F818" s="2475"/>
      <c r="G818" s="2475"/>
      <c r="H818" s="2475"/>
      <c r="I818" s="2475"/>
      <c r="J818" s="2475"/>
      <c r="K818" s="2475"/>
      <c r="L818" s="2475"/>
      <c r="M818" s="2475"/>
      <c r="N818" s="2475"/>
      <c r="O818" s="2475"/>
      <c r="P818" s="2475"/>
      <c r="Q818" s="2475"/>
      <c r="R818" s="2475"/>
      <c r="S818" s="2476"/>
      <c r="T818" s="2477">
        <f>AK559</f>
        <v>12</v>
      </c>
      <c r="U818" s="2477"/>
      <c r="V818" s="2477"/>
      <c r="W818" s="2477"/>
      <c r="X818" s="2477"/>
      <c r="Y818" s="2477"/>
      <c r="Z818" s="2486">
        <v>12</v>
      </c>
      <c r="AA818" s="2487"/>
      <c r="AB818" s="2487"/>
      <c r="AC818" s="2487"/>
      <c r="AD818" s="2487"/>
      <c r="AE818" s="2488"/>
      <c r="AF818" s="2443">
        <f>IF(T818&gt;Z818,Z818,T818)</f>
        <v>12</v>
      </c>
      <c r="AG818" s="2443"/>
      <c r="AH818" s="2443"/>
      <c r="AI818" s="2443"/>
      <c r="AJ818" s="2443"/>
      <c r="AK818" s="24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2022</v>
      </c>
      <c r="B819" s="2475" t="s">
        <v>1582</v>
      </c>
      <c r="C819" s="2475"/>
      <c r="D819" s="2475"/>
      <c r="E819" s="2475"/>
      <c r="F819" s="2475"/>
      <c r="G819" s="2475"/>
      <c r="H819" s="2475"/>
      <c r="I819" s="2475"/>
      <c r="J819" s="2475"/>
      <c r="K819" s="2475"/>
      <c r="L819" s="2475"/>
      <c r="M819" s="2475"/>
      <c r="N819" s="2475"/>
      <c r="O819" s="2475"/>
      <c r="P819" s="2475"/>
      <c r="Q819" s="2475"/>
      <c r="R819" s="2475"/>
      <c r="S819" s="2476"/>
      <c r="T819" s="2477">
        <f>AK794</f>
        <v>10</v>
      </c>
      <c r="U819" s="2477"/>
      <c r="V819" s="2477"/>
      <c r="W819" s="2477"/>
      <c r="X819" s="2477"/>
      <c r="Y819" s="2477"/>
      <c r="Z819" s="2486">
        <v>10</v>
      </c>
      <c r="AA819" s="2487"/>
      <c r="AB819" s="2487"/>
      <c r="AC819" s="2487"/>
      <c r="AD819" s="2487"/>
      <c r="AE819" s="2488"/>
      <c r="AF819" s="2443">
        <f>IF(T819&gt;Z819,Z819,T819)</f>
        <v>10</v>
      </c>
      <c r="AG819" s="2443"/>
      <c r="AH819" s="2443"/>
      <c r="AI819" s="2443"/>
      <c r="AJ819" s="2443"/>
      <c r="AK819" s="24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9" t="s">
        <v>1583</v>
      </c>
      <c r="B820" s="2475"/>
      <c r="C820" s="2475"/>
      <c r="D820" s="2475"/>
      <c r="E820" s="2475"/>
      <c r="F820" s="2475"/>
      <c r="G820" s="2475"/>
      <c r="H820" s="2475"/>
      <c r="I820" s="2475"/>
      <c r="J820" s="2475"/>
      <c r="K820" s="2475"/>
      <c r="L820" s="2475"/>
      <c r="M820" s="2475"/>
      <c r="N820" s="2475"/>
      <c r="O820" s="2475"/>
      <c r="P820" s="2475"/>
      <c r="Q820" s="2475"/>
      <c r="R820" s="2475"/>
      <c r="S820" s="2476"/>
      <c r="T820" s="2490"/>
      <c r="U820" s="2490"/>
      <c r="V820" s="2490"/>
      <c r="W820" s="2490"/>
      <c r="X820" s="2490"/>
      <c r="Y820" s="2490"/>
      <c r="Z820" s="2484" t="s">
        <v>1584</v>
      </c>
      <c r="AA820" s="2484"/>
      <c r="AB820" s="2484"/>
      <c r="AC820" s="2484"/>
      <c r="AD820" s="2484"/>
      <c r="AE820" s="2484"/>
      <c r="AF820" s="2486">
        <f>IF(T820&gt;0,T820,0)</f>
        <v>0</v>
      </c>
      <c r="AG820" s="2487"/>
      <c r="AH820" s="2487"/>
      <c r="AI820" s="2487"/>
      <c r="AJ820" s="2487"/>
      <c r="AK820" s="24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91" t="s">
        <v>1585</v>
      </c>
      <c r="B821" s="2492"/>
      <c r="C821" s="2492"/>
      <c r="D821" s="2492"/>
      <c r="E821" s="2492"/>
      <c r="F821" s="2492"/>
      <c r="G821" s="2492"/>
      <c r="H821" s="2492"/>
      <c r="I821" s="2492"/>
      <c r="J821" s="2492"/>
      <c r="K821" s="2492"/>
      <c r="L821" s="2492"/>
      <c r="M821" s="2492"/>
      <c r="N821" s="2492"/>
      <c r="O821" s="2492"/>
      <c r="P821" s="2492"/>
      <c r="Q821" s="2492"/>
      <c r="R821" s="2492"/>
      <c r="S821" s="2492"/>
      <c r="T821" s="2492"/>
      <c r="U821" s="2492"/>
      <c r="V821" s="2492"/>
      <c r="W821" s="2492"/>
      <c r="X821" s="2492"/>
      <c r="Y821" s="2492"/>
      <c r="Z821" s="2492"/>
      <c r="AA821" s="2492"/>
      <c r="AB821" s="2492"/>
      <c r="AC821" s="2492"/>
      <c r="AD821" s="2492"/>
      <c r="AE821" s="2493"/>
      <c r="AF821" s="2497">
        <f ca="1">SUM(AF804:AK819)-AF820</f>
        <v>120</v>
      </c>
      <c r="AG821" s="2498"/>
      <c r="AH821" s="2498"/>
      <c r="AI821" s="2498"/>
      <c r="AJ821" s="2498"/>
      <c r="AK821" s="24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94"/>
      <c r="B822" s="2495"/>
      <c r="C822" s="2495"/>
      <c r="D822" s="2495"/>
      <c r="E822" s="2495"/>
      <c r="F822" s="2495"/>
      <c r="G822" s="2495"/>
      <c r="H822" s="2495"/>
      <c r="I822" s="2495"/>
      <c r="J822" s="2495"/>
      <c r="K822" s="2495"/>
      <c r="L822" s="2495"/>
      <c r="M822" s="2495"/>
      <c r="N822" s="2495"/>
      <c r="O822" s="2495"/>
      <c r="P822" s="2495"/>
      <c r="Q822" s="2495"/>
      <c r="R822" s="2495"/>
      <c r="S822" s="2495"/>
      <c r="T822" s="2495"/>
      <c r="U822" s="2495"/>
      <c r="V822" s="2495"/>
      <c r="W822" s="2495"/>
      <c r="X822" s="2495"/>
      <c r="Y822" s="2495"/>
      <c r="Z822" s="2495"/>
      <c r="AA822" s="2495"/>
      <c r="AB822" s="2495"/>
      <c r="AC822" s="2495"/>
      <c r="AD822" s="2495"/>
      <c r="AE822" s="2496"/>
      <c r="AF822" s="2500"/>
      <c r="AG822" s="2501"/>
      <c r="AH822" s="2501"/>
      <c r="AI822" s="2501"/>
      <c r="AJ822" s="2501"/>
      <c r="AK822" s="25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James Rock</cp:lastModifiedBy>
  <cp:lastPrinted>2025-05-16T17:59:11Z</cp:lastPrinted>
  <dcterms:created xsi:type="dcterms:W3CDTF">2007-12-27T18:26:28Z</dcterms:created>
  <dcterms:modified xsi:type="dcterms:W3CDTF">2025-05-19T20:24:15Z</dcterms:modified>
</cp:coreProperties>
</file>